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3.xml" ContentType="application/vnd.openxmlformats-officedocument.spreadsheetml.comment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trlProps/ctrlProp4.xml" ContentType="application/vnd.ms-excel.controlproperties+xml"/>
  <Override PartName="/xl/comments4.xml" ContentType="application/vnd.openxmlformats-officedocument.spreadsheetml.comments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theme/themeOverride1.xml" ContentType="application/vnd.openxmlformats-officedocument.themeOverrid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6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fhnw365-my.sharepoint.com/personal/ralph_eismann_fhnw_ch/Documents/FHNW/1_Projekte/CoolShift+/"/>
    </mc:Choice>
  </mc:AlternateContent>
  <xr:revisionPtr revIDLastSave="0" documentId="8_{BF69A80D-C950-4249-B702-247D6C5AEC33}" xr6:coauthVersionLast="47" xr6:coauthVersionMax="47" xr10:uidLastSave="{00000000-0000-0000-0000-000000000000}"/>
  <bookViews>
    <workbookView xWindow="28680" yWindow="-120" windowWidth="38640" windowHeight="21120" firstSheet="1" activeTab="5" xr2:uid="{1848A62F-56B5-47FD-AA68-206CA896CCEB}"/>
  </bookViews>
  <sheets>
    <sheet name="Kühlsegel" sheetId="13" r:id="rId1"/>
    <sheet name="Prototyp" sheetId="14" r:id="rId2"/>
    <sheet name="Konvektion+Strahlung" sheetId="12" r:id="rId3"/>
    <sheet name="Kollektorfeld" sheetId="16" r:id="rId4"/>
    <sheet name="Raum" sheetId="6" r:id="rId5"/>
    <sheet name="License" sheetId="22" r:id="rId6"/>
    <sheet name="Leistung" sheetId="19" r:id="rId7"/>
    <sheet name="Kuehlsegel" sheetId="21" r:id="rId8"/>
    <sheet name="Koll" sheetId="20" r:id="rId9"/>
    <sheet name="Waerme" sheetId="10" r:id="rId10"/>
    <sheet name="Simulation" sheetId="18" r:id="rId11"/>
    <sheet name="Kollektormodelle" sheetId="15" r:id="rId12"/>
    <sheet name="Umgebungsprofile" sheetId="17" r:id="rId13"/>
    <sheet name="Decke" sheetId="7" r:id="rId14"/>
    <sheet name="Wand" sheetId="8" r:id="rId15"/>
    <sheet name="Luft" sheetId="9" r:id="rId16"/>
  </sheets>
  <functionGroups builtInGroupCount="19"/>
  <definedNames>
    <definedName name="Koll_typ">Kollektormodelle!$V$3:$V$8</definedName>
    <definedName name="T_ini">Raum!$D$20</definedName>
    <definedName name="Umgebungsprofile">Umgebungsprofile!$A$31:$A$35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3" l="1"/>
  <c r="G53" i="6"/>
  <c r="V60" i="6"/>
  <c r="V45" i="6"/>
  <c r="H11" i="6"/>
  <c r="H12" i="6" s="1"/>
  <c r="X23" i="17"/>
  <c r="X22" i="17"/>
  <c r="X21" i="17"/>
  <c r="X20" i="17"/>
  <c r="X19" i="17"/>
  <c r="X18" i="17"/>
  <c r="X17" i="17"/>
  <c r="X16" i="17"/>
  <c r="X15" i="17"/>
  <c r="G38" i="16"/>
  <c r="G37" i="16"/>
  <c r="G36" i="16"/>
  <c r="G35" i="16"/>
  <c r="G34" i="16"/>
  <c r="M31" i="16" a="1"/>
  <c r="M34" i="16" a="1"/>
  <c r="M20" i="16" a="1"/>
  <c r="M32" i="16" a="1"/>
  <c r="M36" i="16" a="1"/>
  <c r="M24" i="16" a="1"/>
  <c r="M15" i="16" a="1"/>
  <c r="M29" i="16" a="1"/>
  <c r="M37" i="16" a="1"/>
  <c r="M22" i="16" a="1"/>
  <c r="M35" i="16" a="1"/>
  <c r="M14" i="16" a="1"/>
  <c r="M17" i="16" a="1"/>
  <c r="M23" i="16" a="1"/>
  <c r="M19" i="16" a="1"/>
  <c r="M33" i="16" a="1"/>
  <c r="M8" i="16" a="1"/>
  <c r="M12" i="16" a="1"/>
  <c r="M27" i="16" a="1"/>
  <c r="M38" i="16" a="1"/>
  <c r="M13" i="16" a="1"/>
  <c r="M25" i="16" a="1"/>
  <c r="M26" i="16" a="1"/>
  <c r="M7" i="16" a="1"/>
  <c r="M10" i="16" a="1"/>
  <c r="M21" i="16" a="1"/>
  <c r="M18" i="16" a="1"/>
  <c r="M9" i="16" a="1"/>
  <c r="M16" i="16" a="1"/>
  <c r="M11" i="16" a="1"/>
  <c r="M30" i="16" a="1"/>
  <c r="M28" i="16" a="1"/>
  <c r="M24" i="16" l="1"/>
  <c r="M20" i="16"/>
  <c r="M19" i="16"/>
  <c r="M38" i="16"/>
  <c r="M27" i="16"/>
  <c r="M8" i="16"/>
  <c r="M21" i="16"/>
  <c r="M34" i="16"/>
  <c r="M15" i="16"/>
  <c r="M29" i="16"/>
  <c r="M10" i="16"/>
  <c r="M17" i="16"/>
  <c r="M23" i="16"/>
  <c r="M30" i="16"/>
  <c r="M36" i="16"/>
  <c r="M12" i="16"/>
  <c r="M26" i="16"/>
  <c r="M32" i="16"/>
  <c r="M13" i="16"/>
  <c r="M33" i="16"/>
  <c r="M14" i="16"/>
  <c r="M28" i="16"/>
  <c r="M9" i="16"/>
  <c r="M22" i="16"/>
  <c r="M35" i="16"/>
  <c r="M11" i="16"/>
  <c r="M18" i="16"/>
  <c r="M25" i="16"/>
  <c r="M31" i="16"/>
  <c r="M37" i="16"/>
  <c r="M16" i="16"/>
  <c r="M7" i="16"/>
  <c r="G33" i="16"/>
  <c r="G32" i="16"/>
  <c r="G31" i="16"/>
  <c r="G30" i="16"/>
  <c r="G29" i="16"/>
  <c r="G28" i="16"/>
  <c r="G24" i="16"/>
  <c r="G7" i="16"/>
  <c r="V17" i="17" a="1"/>
  <c r="V23" i="17" a="1"/>
  <c r="V20" i="17" a="1"/>
  <c r="V7" i="17" a="1"/>
  <c r="V9" i="17" a="1"/>
  <c r="V21" i="17" a="1"/>
  <c r="V27" i="17" a="1"/>
  <c r="V19" i="17" a="1"/>
  <c r="V16" i="17" a="1"/>
  <c r="V28" i="17" a="1"/>
  <c r="V13" i="17" a="1"/>
  <c r="V18" i="17" a="1"/>
  <c r="V10" i="17" a="1"/>
  <c r="V15" i="17" a="1"/>
  <c r="V5" i="17" a="1"/>
  <c r="V12" i="17" a="1"/>
  <c r="V14" i="17" a="1"/>
  <c r="V24" i="17" a="1"/>
  <c r="V26" i="17" a="1"/>
  <c r="V22" i="17" a="1"/>
  <c r="V6" i="17" a="1"/>
  <c r="V11" i="17" a="1"/>
  <c r="K7" i="16" a="1"/>
  <c r="V25" i="17" a="1"/>
  <c r="V8" i="17" a="1"/>
  <c r="K7" i="16" l="1"/>
  <c r="V6" i="17"/>
  <c r="V12" i="17"/>
  <c r="V18" i="17"/>
  <c r="V24" i="17"/>
  <c r="V7" i="17"/>
  <c r="V13" i="17"/>
  <c r="V19" i="17"/>
  <c r="V25" i="17"/>
  <c r="V8" i="17"/>
  <c r="V14" i="17"/>
  <c r="V20" i="17"/>
  <c r="V26" i="17"/>
  <c r="V9" i="17"/>
  <c r="V21" i="17"/>
  <c r="V27" i="17"/>
  <c r="V10" i="17"/>
  <c r="V16" i="17"/>
  <c r="V22" i="17"/>
  <c r="V28" i="17"/>
  <c r="V11" i="17"/>
  <c r="V17" i="17"/>
  <c r="V23" i="17"/>
  <c r="V15" i="17"/>
  <c r="V5" i="17"/>
  <c r="C6" i="16"/>
  <c r="G27" i="16"/>
  <c r="G26" i="16"/>
  <c r="G25" i="16"/>
  <c r="G23" i="16"/>
  <c r="G22" i="16"/>
  <c r="G21" i="16"/>
  <c r="G20" i="16"/>
  <c r="G19" i="16"/>
  <c r="G18" i="16"/>
  <c r="G17" i="16"/>
  <c r="G16" i="16"/>
  <c r="G15" i="16"/>
  <c r="G14" i="16"/>
  <c r="G13" i="16"/>
  <c r="G12" i="16"/>
  <c r="G11" i="16"/>
  <c r="G10" i="16"/>
  <c r="G9" i="16"/>
  <c r="G8" i="16"/>
  <c r="N29" i="16" l="1"/>
  <c r="O29" i="16" s="1"/>
  <c r="N31" i="16"/>
  <c r="O31" i="16" s="1"/>
  <c r="N30" i="16"/>
  <c r="O30" i="16" s="1"/>
  <c r="N38" i="16"/>
  <c r="N26" i="16"/>
  <c r="O26" i="16" s="1"/>
  <c r="C26" i="13"/>
  <c r="C23" i="14"/>
  <c r="D23" i="14"/>
  <c r="E23" i="14"/>
  <c r="F23" i="14"/>
  <c r="G23" i="14"/>
  <c r="C69" i="6"/>
  <c r="C68" i="6"/>
  <c r="C67" i="6"/>
  <c r="C66" i="6"/>
  <c r="C65" i="6"/>
  <c r="C64" i="6"/>
  <c r="C53" i="6"/>
  <c r="D67" i="6" s="1"/>
  <c r="C25" i="13" a="1"/>
  <c r="D60" i="6" l="1"/>
  <c r="G62" i="6" s="1"/>
  <c r="D69" i="6"/>
  <c r="D66" i="6"/>
  <c r="D68" i="6"/>
  <c r="C60" i="6"/>
  <c r="C62" i="6" s="1"/>
  <c r="C25" i="13"/>
  <c r="G52" i="6"/>
  <c r="V6" i="6"/>
  <c r="V5" i="6"/>
  <c r="V4" i="6"/>
  <c r="D6" i="12"/>
  <c r="I23" i="12"/>
  <c r="C8" i="12"/>
  <c r="D8" i="12"/>
  <c r="E8" i="12"/>
  <c r="F8" i="12"/>
  <c r="G8" i="12"/>
  <c r="H8" i="12"/>
  <c r="I8" i="12"/>
  <c r="J8" i="12"/>
  <c r="C9" i="12" a="1"/>
  <c r="C9" i="12" l="1"/>
  <c r="C10" i="12" l="1"/>
  <c r="H13" i="6"/>
  <c r="D26" i="6"/>
  <c r="G42" i="6"/>
  <c r="G21" i="14" a="1"/>
  <c r="G19" i="14" a="1"/>
  <c r="F21" i="14" a="1"/>
  <c r="G20" i="14" a="1"/>
  <c r="F22" i="14" a="1"/>
  <c r="F27" i="14" a="1"/>
  <c r="G27" i="14" a="1"/>
  <c r="F19" i="14" a="1"/>
  <c r="G22" i="14" a="1"/>
  <c r="F20" i="14" a="1"/>
  <c r="F20" i="14" l="1"/>
  <c r="F21" i="14"/>
  <c r="G19" i="14"/>
  <c r="G22" i="14"/>
  <c r="F19" i="14"/>
  <c r="F22" i="14"/>
  <c r="G20" i="14"/>
  <c r="G21" i="14"/>
  <c r="G27" i="14"/>
  <c r="F27" i="14"/>
  <c r="X4" i="12"/>
  <c r="X3" i="12"/>
  <c r="AE8" i="12"/>
  <c r="AD8" i="12"/>
  <c r="AC8" i="12"/>
  <c r="AB8" i="12"/>
  <c r="AA8" i="12"/>
  <c r="Z8" i="12"/>
  <c r="Y8" i="12"/>
  <c r="X8" i="12"/>
  <c r="C25" i="12"/>
  <c r="AB9" i="12" a="1"/>
  <c r="X9" i="12" a="1"/>
  <c r="AD9" i="12" a="1"/>
  <c r="Z9" i="12" a="1"/>
  <c r="AC9" i="12" a="1"/>
  <c r="C26" i="12" a="1"/>
  <c r="Y9" i="12" a="1"/>
  <c r="AA9" i="12" a="1"/>
  <c r="AE9" i="12" a="1"/>
  <c r="F30" i="14" l="1"/>
  <c r="AE9" i="12"/>
  <c r="X9" i="12"/>
  <c r="Z9" i="12"/>
  <c r="AC9" i="12"/>
  <c r="Y9" i="12"/>
  <c r="AA9" i="12"/>
  <c r="AD9" i="12"/>
  <c r="AB9" i="12"/>
  <c r="G30" i="14"/>
  <c r="C26" i="12"/>
  <c r="Q36" i="14"/>
  <c r="Q37" i="14" s="1"/>
  <c r="N36" i="14"/>
  <c r="N37" i="14" s="1"/>
  <c r="K19" i="14"/>
  <c r="C16" i="14"/>
  <c r="M6" i="14" s="1"/>
  <c r="M7" i="14" s="1"/>
  <c r="M8" i="14" s="1"/>
  <c r="M9" i="14" s="1"/>
  <c r="M10" i="14" s="1"/>
  <c r="M11" i="14" s="1"/>
  <c r="M12" i="14" s="1"/>
  <c r="M13" i="14" s="1"/>
  <c r="M14" i="14" s="1"/>
  <c r="M15" i="14" s="1"/>
  <c r="M16" i="14" s="1"/>
  <c r="M17" i="14" s="1"/>
  <c r="M18" i="14" s="1"/>
  <c r="M19" i="14" s="1"/>
  <c r="M20" i="14" s="1"/>
  <c r="M21" i="14" s="1"/>
  <c r="M22" i="14" s="1"/>
  <c r="M23" i="14" s="1"/>
  <c r="M24" i="14" s="1"/>
  <c r="M25" i="14" s="1"/>
  <c r="M26" i="14" s="1"/>
  <c r="M37" i="14" s="1"/>
  <c r="C8" i="14"/>
  <c r="AB6" i="14"/>
  <c r="H17" i="6"/>
  <c r="H18" i="6" s="1"/>
  <c r="C50" i="6"/>
  <c r="F42" i="6"/>
  <c r="C27" i="14" a="1"/>
  <c r="C22" i="14" a="1"/>
  <c r="D27" i="14" a="1"/>
  <c r="E21" i="14" a="1"/>
  <c r="E22" i="14" a="1"/>
  <c r="C21" i="14" a="1"/>
  <c r="D20" i="14" a="1"/>
  <c r="C15" i="14" a="1"/>
  <c r="E27" i="14" a="1"/>
  <c r="D22" i="14" a="1"/>
  <c r="C19" i="14" a="1"/>
  <c r="C20" i="14" a="1"/>
  <c r="D21" i="14" a="1"/>
  <c r="K9" i="14" a="1"/>
  <c r="D19" i="14" a="1"/>
  <c r="E19" i="14" a="1"/>
  <c r="E20" i="14" a="1"/>
  <c r="E27" i="14" l="1"/>
  <c r="D27" i="14"/>
  <c r="C27" i="14"/>
  <c r="E22" i="14"/>
  <c r="D22" i="14"/>
  <c r="E21" i="14"/>
  <c r="D21" i="14"/>
  <c r="E20" i="14"/>
  <c r="D20" i="14"/>
  <c r="E19" i="14"/>
  <c r="D19" i="14"/>
  <c r="C19" i="14"/>
  <c r="C22" i="14"/>
  <c r="C21" i="14"/>
  <c r="C20" i="14"/>
  <c r="K9" i="14"/>
  <c r="C15" i="14"/>
  <c r="C78" i="12"/>
  <c r="C42" i="13"/>
  <c r="C44" i="13" s="1"/>
  <c r="M36" i="13"/>
  <c r="M37" i="13" s="1"/>
  <c r="J36" i="13"/>
  <c r="J37" i="13" s="1"/>
  <c r="G19" i="13"/>
  <c r="C16" i="13"/>
  <c r="I6" i="13" s="1"/>
  <c r="I7" i="13" s="1"/>
  <c r="C8" i="13"/>
  <c r="X6" i="13"/>
  <c r="H26" i="6"/>
  <c r="C28" i="14" a="1"/>
  <c r="C20" i="13" a="1"/>
  <c r="C27" i="13" a="1"/>
  <c r="C46" i="13" a="1"/>
  <c r="C19" i="13" a="1"/>
  <c r="F28" i="14" a="1"/>
  <c r="D28" i="14" a="1"/>
  <c r="G28" i="14" a="1"/>
  <c r="C21" i="13" a="1"/>
  <c r="C15" i="13" a="1"/>
  <c r="G9" i="13" a="1"/>
  <c r="C22" i="13" a="1"/>
  <c r="E28" i="14" a="1"/>
  <c r="G28" i="14" l="1"/>
  <c r="F28" i="14"/>
  <c r="C30" i="14"/>
  <c r="D30" i="14"/>
  <c r="E30" i="14"/>
  <c r="C28" i="14"/>
  <c r="D28" i="14"/>
  <c r="E28" i="14"/>
  <c r="C19" i="13"/>
  <c r="C21" i="13"/>
  <c r="C15" i="13"/>
  <c r="G9" i="13"/>
  <c r="C46" i="13"/>
  <c r="C47" i="13" s="1"/>
  <c r="C49" i="13" s="1"/>
  <c r="C20" i="13"/>
  <c r="C22" i="13"/>
  <c r="C27" i="13"/>
  <c r="I8" i="13"/>
  <c r="I9" i="13" s="1"/>
  <c r="I10" i="13" s="1"/>
  <c r="I11" i="13" s="1"/>
  <c r="I12" i="13" s="1"/>
  <c r="I13" i="13" s="1"/>
  <c r="I14" i="13" s="1"/>
  <c r="I15" i="13" s="1"/>
  <c r="I16" i="13" s="1"/>
  <c r="I17" i="13" s="1"/>
  <c r="I18" i="13" s="1"/>
  <c r="I19" i="13" s="1"/>
  <c r="I20" i="13" s="1"/>
  <c r="I21" i="13" s="1"/>
  <c r="I22" i="13" s="1"/>
  <c r="I23" i="13" s="1"/>
  <c r="I24" i="13" s="1"/>
  <c r="I25" i="13" s="1"/>
  <c r="C69" i="12"/>
  <c r="I51" i="12"/>
  <c r="E51" i="12"/>
  <c r="I24" i="12"/>
  <c r="J51" i="12"/>
  <c r="H51" i="12"/>
  <c r="G51" i="12"/>
  <c r="F51" i="12"/>
  <c r="D51" i="12"/>
  <c r="F79" i="12" a="1"/>
  <c r="E74" i="12" a="1"/>
  <c r="I9" i="12" a="1"/>
  <c r="G74" i="12" a="1"/>
  <c r="I75" i="12" a="1"/>
  <c r="J73" i="12" a="1"/>
  <c r="I73" i="12" a="1"/>
  <c r="F73" i="12" a="1"/>
  <c r="H73" i="12" a="1"/>
  <c r="F76" i="12" a="1"/>
  <c r="G76" i="12" a="1"/>
  <c r="I76" i="12" a="1"/>
  <c r="H75" i="12" a="1"/>
  <c r="D73" i="12" a="1"/>
  <c r="E9" i="12" a="1"/>
  <c r="E76" i="12" a="1"/>
  <c r="H9" i="12" a="1"/>
  <c r="F29" i="14" a="1"/>
  <c r="J76" i="12" a="1"/>
  <c r="H74" i="12" a="1"/>
  <c r="E73" i="12" a="1"/>
  <c r="E75" i="12" a="1"/>
  <c r="C28" i="13" a="1"/>
  <c r="D29" i="14" a="1"/>
  <c r="F75" i="12" a="1"/>
  <c r="C74" i="12" a="1"/>
  <c r="G73" i="12" a="1"/>
  <c r="J9" i="12" a="1"/>
  <c r="F9" i="12" a="1"/>
  <c r="F74" i="12" a="1"/>
  <c r="C75" i="12" a="1"/>
  <c r="G9" i="12" a="1"/>
  <c r="C73" i="12" a="1"/>
  <c r="I74" i="12" a="1"/>
  <c r="J75" i="12" a="1"/>
  <c r="D76" i="12" a="1"/>
  <c r="C76" i="12" a="1"/>
  <c r="J74" i="12" a="1"/>
  <c r="D75" i="12" a="1"/>
  <c r="G29" i="14" a="1"/>
  <c r="D9" i="12" a="1"/>
  <c r="C29" i="14" a="1"/>
  <c r="E29" i="14" a="1"/>
  <c r="C68" i="12" a="1"/>
  <c r="H76" i="12" a="1"/>
  <c r="D74" i="12" a="1"/>
  <c r="G75" i="12" a="1"/>
  <c r="F29" i="14" l="1"/>
  <c r="G29" i="14"/>
  <c r="C29" i="14"/>
  <c r="E29" i="14"/>
  <c r="D29" i="14"/>
  <c r="I26" i="13"/>
  <c r="I37" i="13" s="1"/>
  <c r="C28" i="13"/>
  <c r="C30" i="13"/>
  <c r="E9" i="12"/>
  <c r="E10" i="12" s="1"/>
  <c r="F73" i="12"/>
  <c r="E74" i="12"/>
  <c r="E75" i="12"/>
  <c r="H76" i="12"/>
  <c r="F9" i="12"/>
  <c r="F10" i="12" s="1"/>
  <c r="I9" i="12"/>
  <c r="I10" i="12" s="1"/>
  <c r="G73" i="12"/>
  <c r="F79" i="12"/>
  <c r="D9" i="12"/>
  <c r="D10" i="12" s="1"/>
  <c r="G9" i="12"/>
  <c r="G10" i="12" s="1"/>
  <c r="J9" i="12"/>
  <c r="J10" i="12" s="1"/>
  <c r="D73" i="12"/>
  <c r="H73" i="12"/>
  <c r="C74" i="12"/>
  <c r="G74" i="12"/>
  <c r="C75" i="12"/>
  <c r="G75" i="12"/>
  <c r="J75" i="12"/>
  <c r="F76" i="12"/>
  <c r="J76" i="12"/>
  <c r="J73" i="12"/>
  <c r="I74" i="12"/>
  <c r="D76" i="12"/>
  <c r="C73" i="12"/>
  <c r="F74" i="12"/>
  <c r="J74" i="12"/>
  <c r="F75" i="12"/>
  <c r="I75" i="12"/>
  <c r="E76" i="12"/>
  <c r="I76" i="12"/>
  <c r="H9" i="12"/>
  <c r="H10" i="12" s="1"/>
  <c r="C68" i="12"/>
  <c r="E73" i="12"/>
  <c r="I73" i="12"/>
  <c r="D74" i="12"/>
  <c r="H74" i="12"/>
  <c r="D75" i="12"/>
  <c r="H75" i="12"/>
  <c r="C76" i="12"/>
  <c r="G76" i="12"/>
  <c r="T60" i="13" a="1"/>
  <c r="E79" i="12" a="1"/>
  <c r="T52" i="13" a="1"/>
  <c r="T59" i="13" a="1"/>
  <c r="T63" i="13" a="1"/>
  <c r="G79" i="12" a="1"/>
  <c r="T58" i="13" a="1"/>
  <c r="T42" i="13" a="1"/>
  <c r="T61" i="13" a="1"/>
  <c r="T55" i="13" a="1"/>
  <c r="T47" i="13" a="1"/>
  <c r="T64" i="13" a="1"/>
  <c r="H79" i="12" a="1"/>
  <c r="E31" i="14" a="1"/>
  <c r="T46" i="13" a="1"/>
  <c r="T56" i="13" a="1"/>
  <c r="T54" i="13" a="1"/>
  <c r="G31" i="14" a="1"/>
  <c r="T51" i="13" a="1"/>
  <c r="J79" i="12" a="1"/>
  <c r="T65" i="13" a="1"/>
  <c r="T67" i="13" a="1"/>
  <c r="T44" i="13" a="1"/>
  <c r="D31" i="14" a="1"/>
  <c r="F31" i="14" a="1"/>
  <c r="T48" i="13" a="1"/>
  <c r="T45" i="13" a="1"/>
  <c r="C29" i="13" a="1"/>
  <c r="T66" i="13" a="1"/>
  <c r="T57" i="13" a="1"/>
  <c r="T49" i="13" a="1"/>
  <c r="T68" i="13" a="1"/>
  <c r="C79" i="12" a="1"/>
  <c r="I79" i="12" a="1"/>
  <c r="T70" i="13" a="1"/>
  <c r="T69" i="13" a="1"/>
  <c r="F80" i="12" a="1"/>
  <c r="T41" i="13" a="1"/>
  <c r="C31" i="14" a="1"/>
  <c r="D79" i="12" a="1"/>
  <c r="T43" i="13" a="1"/>
  <c r="T62" i="13" a="1"/>
  <c r="T53" i="13" a="1"/>
  <c r="T50" i="13" a="1"/>
  <c r="G31" i="14" l="1"/>
  <c r="F31" i="14"/>
  <c r="D31" i="14"/>
  <c r="E31" i="14"/>
  <c r="C31" i="14"/>
  <c r="T47" i="13"/>
  <c r="T43" i="13"/>
  <c r="T70" i="13"/>
  <c r="T68" i="13"/>
  <c r="T66" i="13"/>
  <c r="T64" i="13"/>
  <c r="T62" i="13"/>
  <c r="T60" i="13"/>
  <c r="T58" i="13"/>
  <c r="T56" i="13"/>
  <c r="T54" i="13"/>
  <c r="T52" i="13"/>
  <c r="T50" i="13"/>
  <c r="T48" i="13"/>
  <c r="T44" i="13"/>
  <c r="T42" i="13"/>
  <c r="T41" i="13"/>
  <c r="T69" i="13"/>
  <c r="T61" i="13"/>
  <c r="T53" i="13"/>
  <c r="T46" i="13"/>
  <c r="T57" i="13"/>
  <c r="T63" i="13"/>
  <c r="T67" i="13"/>
  <c r="T59" i="13"/>
  <c r="T51" i="13"/>
  <c r="T45" i="13"/>
  <c r="T65" i="13"/>
  <c r="T49" i="13"/>
  <c r="T55" i="13"/>
  <c r="C29" i="13"/>
  <c r="G82" i="12"/>
  <c r="E82" i="12"/>
  <c r="H82" i="12"/>
  <c r="G79" i="12"/>
  <c r="H79" i="12"/>
  <c r="C79" i="12"/>
  <c r="F80" i="12"/>
  <c r="D79" i="12"/>
  <c r="I79" i="12"/>
  <c r="J79" i="12"/>
  <c r="E79" i="12"/>
  <c r="C82" i="12"/>
  <c r="J82" i="12"/>
  <c r="F82" i="12"/>
  <c r="D82" i="12"/>
  <c r="I82" i="12"/>
  <c r="I80" i="12" a="1"/>
  <c r="D32" i="14" a="1"/>
  <c r="D80" i="12" a="1"/>
  <c r="H80" i="12" a="1"/>
  <c r="G80" i="12" a="1"/>
  <c r="C80" i="12" a="1"/>
  <c r="F81" i="12" a="1"/>
  <c r="G32" i="14" a="1"/>
  <c r="E32" i="14" a="1"/>
  <c r="F32" i="14" a="1"/>
  <c r="C31" i="13" a="1"/>
  <c r="C32" i="14" a="1"/>
  <c r="J80" i="12" a="1"/>
  <c r="E80" i="12" a="1"/>
  <c r="G32" i="14" l="1"/>
  <c r="F32" i="14"/>
  <c r="E32" i="14"/>
  <c r="D32" i="14"/>
  <c r="C32" i="14"/>
  <c r="C31" i="13"/>
  <c r="F81" i="12"/>
  <c r="J80" i="12"/>
  <c r="C80" i="12"/>
  <c r="E80" i="12"/>
  <c r="I80" i="12"/>
  <c r="H80" i="12"/>
  <c r="D80" i="12"/>
  <c r="G80" i="12"/>
  <c r="F36" i="14" a="1"/>
  <c r="E33" i="14" a="1"/>
  <c r="H81" i="12" a="1"/>
  <c r="C33" i="14" a="1"/>
  <c r="C32" i="13" a="1"/>
  <c r="D36" i="14" a="1"/>
  <c r="D33" i="14" a="1"/>
  <c r="G36" i="14" a="1"/>
  <c r="F33" i="14" a="1"/>
  <c r="F83" i="12" a="1"/>
  <c r="I81" i="12" a="1"/>
  <c r="E36" i="14" a="1"/>
  <c r="G33" i="14" a="1"/>
  <c r="G81" i="12" a="1"/>
  <c r="C36" i="14" a="1"/>
  <c r="J81" i="12" a="1"/>
  <c r="C81" i="12" a="1"/>
  <c r="E81" i="12" a="1"/>
  <c r="D81" i="12" a="1"/>
  <c r="C36" i="14" l="1"/>
  <c r="F36" i="14"/>
  <c r="F37" i="14" s="1"/>
  <c r="F34" i="14" s="1"/>
  <c r="F33" i="14"/>
  <c r="G33" i="14"/>
  <c r="G36" i="14"/>
  <c r="G37" i="14" s="1"/>
  <c r="G34" i="14" s="1"/>
  <c r="D33" i="14"/>
  <c r="C33" i="14"/>
  <c r="E33" i="14"/>
  <c r="E36" i="14"/>
  <c r="E37" i="14" s="1"/>
  <c r="E34" i="14" s="1"/>
  <c r="D36" i="14"/>
  <c r="D37" i="14" s="1"/>
  <c r="D34" i="14" s="1"/>
  <c r="C32" i="13"/>
  <c r="D81" i="12"/>
  <c r="C81" i="12"/>
  <c r="G81" i="12"/>
  <c r="H81" i="12"/>
  <c r="J81" i="12"/>
  <c r="E81" i="12"/>
  <c r="I81" i="12"/>
  <c r="F83" i="12"/>
  <c r="D83" i="12" a="1"/>
  <c r="F84" i="12" a="1"/>
  <c r="E83" i="12" a="1"/>
  <c r="I83" i="12" a="1"/>
  <c r="C83" i="12" a="1"/>
  <c r="C33" i="13" a="1"/>
  <c r="G83" i="12" a="1"/>
  <c r="H83" i="12" a="1"/>
  <c r="J83" i="12" a="1"/>
  <c r="C36" i="13" a="1"/>
  <c r="N7" i="14" a="1"/>
  <c r="N7" i="14" l="1"/>
  <c r="C36" i="13"/>
  <c r="C33" i="13"/>
  <c r="P36" i="14"/>
  <c r="P37" i="14" s="1"/>
  <c r="C37" i="14"/>
  <c r="C34" i="14" s="1"/>
  <c r="O36" i="14"/>
  <c r="O37" i="14" s="1"/>
  <c r="F84" i="12"/>
  <c r="H83" i="12"/>
  <c r="I83" i="12"/>
  <c r="G83" i="12"/>
  <c r="E83" i="12"/>
  <c r="C83" i="12"/>
  <c r="J83" i="12"/>
  <c r="D83" i="12"/>
  <c r="J84" i="12" a="1"/>
  <c r="G84" i="12" a="1"/>
  <c r="N9" i="14" a="1"/>
  <c r="C84" i="12" a="1"/>
  <c r="N13" i="14" a="1"/>
  <c r="N8" i="14" a="1"/>
  <c r="N12" i="14" a="1"/>
  <c r="E84" i="12" a="1"/>
  <c r="I84" i="12" a="1"/>
  <c r="H84" i="12" a="1"/>
  <c r="F12" i="12" a="1"/>
  <c r="N6" i="14" a="1"/>
  <c r="N10" i="14" a="1"/>
  <c r="J14" i="13" a="1"/>
  <c r="N15" i="14" a="1"/>
  <c r="N14" i="14" a="1"/>
  <c r="D84" i="12" a="1"/>
  <c r="N5" i="14" a="1"/>
  <c r="N11" i="14" a="1"/>
  <c r="N8" i="14" l="1"/>
  <c r="N23" i="14" s="1"/>
  <c r="N13" i="14"/>
  <c r="N18" i="14" s="1"/>
  <c r="N15" i="14"/>
  <c r="N16" i="14" s="1"/>
  <c r="N10" i="14"/>
  <c r="N21" i="14" s="1"/>
  <c r="N11" i="14"/>
  <c r="N20" i="14" s="1"/>
  <c r="N12" i="14"/>
  <c r="N19" i="14" s="1"/>
  <c r="N6" i="14"/>
  <c r="N25" i="14" s="1"/>
  <c r="N14" i="14"/>
  <c r="N17" i="14" s="1"/>
  <c r="N5" i="14"/>
  <c r="N26" i="14" s="1"/>
  <c r="N24" i="14"/>
  <c r="N9" i="14"/>
  <c r="N22" i="14" s="1"/>
  <c r="F12" i="12"/>
  <c r="J14" i="13"/>
  <c r="J17" i="13" s="1"/>
  <c r="L36" i="13"/>
  <c r="L37" i="13" s="1"/>
  <c r="C37" i="13"/>
  <c r="C34" i="13" s="1"/>
  <c r="K36" i="13"/>
  <c r="K37" i="13" s="1"/>
  <c r="G84" i="12"/>
  <c r="J84" i="12"/>
  <c r="I84" i="12"/>
  <c r="D84" i="12"/>
  <c r="C84" i="12"/>
  <c r="H84" i="12"/>
  <c r="E84" i="12"/>
  <c r="I12" i="12" a="1"/>
  <c r="E12" i="12" a="1"/>
  <c r="C12" i="12" a="1"/>
  <c r="J15" i="13" a="1"/>
  <c r="D12" i="12" a="1"/>
  <c r="F28" i="12" a="1"/>
  <c r="I11" i="12" a="1"/>
  <c r="J11" i="12" a="1"/>
  <c r="J10" i="13" a="1"/>
  <c r="G11" i="12" a="1"/>
  <c r="F11" i="12" a="1"/>
  <c r="E11" i="12" a="1"/>
  <c r="J11" i="13" a="1"/>
  <c r="J13" i="13" a="1"/>
  <c r="J6" i="13" a="1"/>
  <c r="D11" i="12" a="1"/>
  <c r="G12" i="12" a="1"/>
  <c r="F32" i="12" a="1"/>
  <c r="H12" i="12" a="1"/>
  <c r="H11" i="12" a="1"/>
  <c r="J8" i="13" a="1"/>
  <c r="J12" i="13" a="1"/>
  <c r="J12" i="12" a="1"/>
  <c r="J5" i="13" a="1"/>
  <c r="J7" i="13" a="1"/>
  <c r="J9" i="13" a="1"/>
  <c r="C11" i="12" a="1"/>
  <c r="F29" i="12" a="1"/>
  <c r="J15" i="13" l="1"/>
  <c r="J16" i="13" s="1"/>
  <c r="C11" i="12"/>
  <c r="C12" i="12"/>
  <c r="F29" i="12"/>
  <c r="F50" i="12" s="1"/>
  <c r="F28" i="12"/>
  <c r="F14" i="12"/>
  <c r="F13" i="12"/>
  <c r="J5" i="13"/>
  <c r="J26" i="13" s="1"/>
  <c r="G12" i="12"/>
  <c r="D12" i="12"/>
  <c r="E12" i="12"/>
  <c r="I12" i="12"/>
  <c r="H12" i="12"/>
  <c r="J12" i="12"/>
  <c r="J9" i="13"/>
  <c r="J22" i="13" s="1"/>
  <c r="J12" i="13"/>
  <c r="J19" i="13" s="1"/>
  <c r="J10" i="13"/>
  <c r="J21" i="13" s="1"/>
  <c r="J13" i="13"/>
  <c r="J18" i="13" s="1"/>
  <c r="J8" i="13"/>
  <c r="J23" i="13" s="1"/>
  <c r="J11" i="13"/>
  <c r="J20" i="13" s="1"/>
  <c r="J6" i="13"/>
  <c r="J25" i="13" s="1"/>
  <c r="J7" i="13"/>
  <c r="J24" i="13" s="1"/>
  <c r="F32" i="12"/>
  <c r="J11" i="12"/>
  <c r="F11" i="12"/>
  <c r="H11" i="12"/>
  <c r="D11" i="12"/>
  <c r="I11" i="12"/>
  <c r="E11" i="12"/>
  <c r="G11" i="12"/>
  <c r="F87" i="12"/>
  <c r="E28" i="12" a="1"/>
  <c r="H29" i="12" a="1"/>
  <c r="E32" i="12" a="1"/>
  <c r="C29" i="12" a="1"/>
  <c r="D28" i="12" a="1"/>
  <c r="I28" i="12" a="1"/>
  <c r="C32" i="12" a="1"/>
  <c r="J29" i="12" a="1"/>
  <c r="F15" i="12" a="1"/>
  <c r="D29" i="12" a="1"/>
  <c r="G28" i="12" a="1"/>
  <c r="J28" i="12" a="1"/>
  <c r="F18" i="12" a="1"/>
  <c r="C28" i="12" a="1"/>
  <c r="D32" i="12" a="1"/>
  <c r="F16" i="12" a="1"/>
  <c r="J32" i="12" a="1"/>
  <c r="E29" i="12" a="1"/>
  <c r="G29" i="12" a="1"/>
  <c r="G32" i="12" a="1"/>
  <c r="F17" i="12" a="1"/>
  <c r="F41" i="12" a="1"/>
  <c r="I32" i="12" a="1"/>
  <c r="F33" i="12" a="1"/>
  <c r="I29" i="12" a="1"/>
  <c r="H32" i="12" a="1"/>
  <c r="H28" i="12" a="1"/>
  <c r="C29" i="12" l="1"/>
  <c r="C50" i="12" s="1"/>
  <c r="C28" i="12"/>
  <c r="C14" i="12"/>
  <c r="C13" i="12"/>
  <c r="E29" i="12"/>
  <c r="E50" i="12" s="1"/>
  <c r="E28" i="12"/>
  <c r="J29" i="12"/>
  <c r="J50" i="12" s="1"/>
  <c r="J28" i="12"/>
  <c r="D29" i="12"/>
  <c r="D50" i="12" s="1"/>
  <c r="D28" i="12"/>
  <c r="H29" i="12"/>
  <c r="H50" i="12" s="1"/>
  <c r="H28" i="12"/>
  <c r="G29" i="12"/>
  <c r="G50" i="12" s="1"/>
  <c r="G28" i="12"/>
  <c r="I29" i="12"/>
  <c r="I50" i="12" s="1"/>
  <c r="I28" i="12"/>
  <c r="E14" i="12"/>
  <c r="E13" i="12"/>
  <c r="J13" i="12"/>
  <c r="J14" i="12"/>
  <c r="D14" i="12"/>
  <c r="D13" i="12"/>
  <c r="H14" i="12"/>
  <c r="H13" i="12"/>
  <c r="G14" i="12"/>
  <c r="G13" i="12"/>
  <c r="I14" i="12"/>
  <c r="I13" i="12"/>
  <c r="C32" i="12"/>
  <c r="G32" i="12"/>
  <c r="F17" i="12"/>
  <c r="F16" i="12"/>
  <c r="F15" i="12"/>
  <c r="J32" i="12"/>
  <c r="F33" i="12"/>
  <c r="F41" i="12"/>
  <c r="I32" i="12"/>
  <c r="F18" i="12"/>
  <c r="D32" i="12"/>
  <c r="H32" i="12"/>
  <c r="E32" i="12"/>
  <c r="J87" i="12"/>
  <c r="G87" i="12"/>
  <c r="I87" i="12"/>
  <c r="F20" i="12"/>
  <c r="D87" i="12"/>
  <c r="C87" i="12"/>
  <c r="C85" i="12" s="1"/>
  <c r="H87" i="12"/>
  <c r="E87" i="12"/>
  <c r="F30" i="12"/>
  <c r="F49" i="12"/>
  <c r="D41" i="12" a="1"/>
  <c r="G15" i="12" a="1"/>
  <c r="H17" i="12" a="1"/>
  <c r="J33" i="12" a="1"/>
  <c r="F19" i="12" a="1"/>
  <c r="E41" i="12" a="1"/>
  <c r="J18" i="12" a="1"/>
  <c r="D33" i="12" a="1"/>
  <c r="H16" i="12" a="1"/>
  <c r="G17" i="12" a="1"/>
  <c r="G18" i="12" a="1"/>
  <c r="C15" i="12" a="1"/>
  <c r="I15" i="12" a="1"/>
  <c r="H41" i="12" a="1"/>
  <c r="G33" i="12" a="1"/>
  <c r="J17" i="12" a="1"/>
  <c r="G41" i="12" a="1"/>
  <c r="H18" i="12" a="1"/>
  <c r="E33" i="12" a="1"/>
  <c r="C33" i="12" a="1"/>
  <c r="J41" i="12" a="1"/>
  <c r="D17" i="12" a="1"/>
  <c r="H33" i="12" a="1"/>
  <c r="G16" i="12" a="1"/>
  <c r="I17" i="12" a="1"/>
  <c r="E16" i="12" a="1"/>
  <c r="C41" i="12" a="1"/>
  <c r="E17" i="12" a="1"/>
  <c r="J15" i="12" a="1"/>
  <c r="E18" i="12" a="1"/>
  <c r="D15" i="12" a="1"/>
  <c r="C18" i="12" a="1"/>
  <c r="I16" i="12" a="1"/>
  <c r="D16" i="12" a="1"/>
  <c r="I33" i="12" a="1"/>
  <c r="J16" i="12" a="1"/>
  <c r="C16" i="12" a="1"/>
  <c r="D18" i="12" a="1"/>
  <c r="H15" i="12" a="1"/>
  <c r="C17" i="12" a="1"/>
  <c r="I18" i="12" a="1"/>
  <c r="E15" i="12" a="1"/>
  <c r="I41" i="12" a="1"/>
  <c r="C17" i="12" l="1"/>
  <c r="C30" i="12"/>
  <c r="G30" i="12"/>
  <c r="D16" i="12"/>
  <c r="I16" i="12"/>
  <c r="H16" i="12"/>
  <c r="C16" i="12"/>
  <c r="E16" i="12"/>
  <c r="G16" i="12"/>
  <c r="J16" i="12"/>
  <c r="J15" i="12"/>
  <c r="E15" i="12"/>
  <c r="G15" i="12"/>
  <c r="C15" i="12"/>
  <c r="D15" i="12"/>
  <c r="I15" i="12"/>
  <c r="H15" i="12"/>
  <c r="F34" i="12"/>
  <c r="F35" i="12" s="1"/>
  <c r="G41" i="12"/>
  <c r="G33" i="12"/>
  <c r="E17" i="12"/>
  <c r="E18" i="12"/>
  <c r="G17" i="12"/>
  <c r="G18" i="12"/>
  <c r="J18" i="12"/>
  <c r="J17" i="12"/>
  <c r="C33" i="12"/>
  <c r="C41" i="12"/>
  <c r="I41" i="12"/>
  <c r="I33" i="12"/>
  <c r="J33" i="12"/>
  <c r="J41" i="12"/>
  <c r="H33" i="12"/>
  <c r="H41" i="12"/>
  <c r="H18" i="12"/>
  <c r="H17" i="12"/>
  <c r="D41" i="12"/>
  <c r="D33" i="12"/>
  <c r="F19" i="12"/>
  <c r="C18" i="12"/>
  <c r="D18" i="12"/>
  <c r="D17" i="12"/>
  <c r="I17" i="12"/>
  <c r="I18" i="12"/>
  <c r="E41" i="12"/>
  <c r="E33" i="12"/>
  <c r="H30" i="12"/>
  <c r="H49" i="12"/>
  <c r="E20" i="12"/>
  <c r="G20" i="12"/>
  <c r="J20" i="12"/>
  <c r="E30" i="12"/>
  <c r="E49" i="12"/>
  <c r="D30" i="12"/>
  <c r="D49" i="12"/>
  <c r="G49" i="12"/>
  <c r="C49" i="12"/>
  <c r="L28" i="12" a="1"/>
  <c r="I30" i="12"/>
  <c r="I49" i="12"/>
  <c r="J30" i="12"/>
  <c r="J49" i="12"/>
  <c r="H20" i="12"/>
  <c r="C20" i="12"/>
  <c r="D20" i="12"/>
  <c r="I20" i="12"/>
  <c r="F42" i="12"/>
  <c r="F43" i="12" s="1"/>
  <c r="H19" i="12" a="1"/>
  <c r="F45" i="12" a="1"/>
  <c r="J19" i="12" a="1"/>
  <c r="D19" i="12" a="1"/>
  <c r="F36" i="12" a="1"/>
  <c r="F44" i="12" a="1"/>
  <c r="I19" i="12" a="1"/>
  <c r="G19" i="12" a="1"/>
  <c r="E19" i="12" a="1"/>
  <c r="F37" i="12" a="1"/>
  <c r="C19" i="12" a="1"/>
  <c r="D19" i="12" l="1"/>
  <c r="E42" i="12"/>
  <c r="E43" i="12" s="1"/>
  <c r="I34" i="12"/>
  <c r="I35" i="12" s="1"/>
  <c r="H42" i="12"/>
  <c r="H43" i="12" s="1"/>
  <c r="J42" i="12"/>
  <c r="J43" i="12" s="1"/>
  <c r="L28" i="12"/>
  <c r="K28" i="12"/>
  <c r="F54" i="12"/>
  <c r="J34" i="12"/>
  <c r="J35" i="12" s="1"/>
  <c r="I19" i="12"/>
  <c r="J19" i="12"/>
  <c r="C19" i="12"/>
  <c r="G19" i="12"/>
  <c r="E19" i="12"/>
  <c r="F37" i="12"/>
  <c r="F38" i="12" s="1"/>
  <c r="F39" i="12" s="1"/>
  <c r="F36" i="12"/>
  <c r="F45" i="12"/>
  <c r="F46" i="12" s="1"/>
  <c r="F47" i="12" s="1"/>
  <c r="F44" i="12"/>
  <c r="H19" i="12"/>
  <c r="D42" i="12"/>
  <c r="D43" i="12" s="1"/>
  <c r="H34" i="12"/>
  <c r="H35" i="12" s="1"/>
  <c r="I42" i="12"/>
  <c r="I43" i="12" s="1"/>
  <c r="C42" i="12"/>
  <c r="C43" i="12" s="1"/>
  <c r="G34" i="12"/>
  <c r="G35" i="12" s="1"/>
  <c r="D34" i="12"/>
  <c r="D35" i="12" s="1"/>
  <c r="F55" i="12"/>
  <c r="F57" i="12" s="1"/>
  <c r="E34" i="12"/>
  <c r="E35" i="12" s="1"/>
  <c r="C34" i="12"/>
  <c r="C35" i="12" s="1"/>
  <c r="G42" i="12"/>
  <c r="G43" i="12" s="1"/>
  <c r="J37" i="12" a="1"/>
  <c r="I44" i="12" a="1"/>
  <c r="D36" i="12" a="1"/>
  <c r="D44" i="12" a="1"/>
  <c r="G37" i="12" a="1"/>
  <c r="I37" i="12" a="1"/>
  <c r="C45" i="12" a="1"/>
  <c r="E44" i="12" a="1"/>
  <c r="C37" i="12" a="1"/>
  <c r="G36" i="12" a="1"/>
  <c r="H37" i="12" a="1"/>
  <c r="E45" i="12" a="1"/>
  <c r="J44" i="12" a="1"/>
  <c r="D45" i="12" a="1"/>
  <c r="J45" i="12" a="1"/>
  <c r="I36" i="12" a="1"/>
  <c r="E37" i="12" a="1"/>
  <c r="C36" i="12" a="1"/>
  <c r="E36" i="12" a="1"/>
  <c r="G44" i="12" a="1"/>
  <c r="C44" i="12" a="1"/>
  <c r="G45" i="12" a="1"/>
  <c r="D37" i="12" a="1"/>
  <c r="H45" i="12" a="1"/>
  <c r="H36" i="12" a="1"/>
  <c r="J36" i="12" a="1"/>
  <c r="I45" i="12" a="1"/>
  <c r="H44" i="12" a="1"/>
  <c r="E55" i="12" l="1"/>
  <c r="E57" i="12" s="1"/>
  <c r="H54" i="12"/>
  <c r="H55" i="12"/>
  <c r="H57" i="12" s="1"/>
  <c r="F53" i="12"/>
  <c r="F56" i="12" s="1"/>
  <c r="G54" i="12"/>
  <c r="C54" i="12"/>
  <c r="J55" i="12"/>
  <c r="J57" i="12" s="1"/>
  <c r="J54" i="12"/>
  <c r="F52" i="12"/>
  <c r="H37" i="12"/>
  <c r="H38" i="12" s="1"/>
  <c r="H39" i="12" s="1"/>
  <c r="H36" i="12"/>
  <c r="H45" i="12"/>
  <c r="H46" i="12" s="1"/>
  <c r="H47" i="12" s="1"/>
  <c r="H44" i="12"/>
  <c r="C45" i="12"/>
  <c r="C46" i="12" s="1"/>
  <c r="C47" i="12" s="1"/>
  <c r="C37" i="12"/>
  <c r="C38" i="12" s="1"/>
  <c r="C39" i="12" s="1"/>
  <c r="C36" i="12"/>
  <c r="C44" i="12"/>
  <c r="G44" i="12"/>
  <c r="G45" i="12"/>
  <c r="G46" i="12" s="1"/>
  <c r="G47" i="12" s="1"/>
  <c r="G37" i="12"/>
  <c r="G38" i="12" s="1"/>
  <c r="G39" i="12" s="1"/>
  <c r="G36" i="12"/>
  <c r="E45" i="12"/>
  <c r="E46" i="12" s="1"/>
  <c r="E47" i="12" s="1"/>
  <c r="E44" i="12"/>
  <c r="E37" i="12"/>
  <c r="E38" i="12" s="1"/>
  <c r="E39" i="12" s="1"/>
  <c r="E36" i="12"/>
  <c r="J36" i="12"/>
  <c r="J45" i="12"/>
  <c r="J46" i="12" s="1"/>
  <c r="J47" i="12" s="1"/>
  <c r="J44" i="12"/>
  <c r="J37" i="12"/>
  <c r="J38" i="12" s="1"/>
  <c r="J39" i="12" s="1"/>
  <c r="D45" i="12"/>
  <c r="D46" i="12" s="1"/>
  <c r="D47" i="12" s="1"/>
  <c r="D44" i="12"/>
  <c r="D37" i="12"/>
  <c r="D38" i="12" s="1"/>
  <c r="D39" i="12" s="1"/>
  <c r="D36" i="12"/>
  <c r="I45" i="12"/>
  <c r="I46" i="12" s="1"/>
  <c r="I47" i="12" s="1"/>
  <c r="I44" i="12"/>
  <c r="I37" i="12"/>
  <c r="I38" i="12" s="1"/>
  <c r="I39" i="12" s="1"/>
  <c r="I36" i="12"/>
  <c r="D55" i="12"/>
  <c r="D57" i="12" s="1"/>
  <c r="D54" i="12"/>
  <c r="E54" i="12"/>
  <c r="G55" i="12"/>
  <c r="G57" i="12" s="1"/>
  <c r="I55" i="12"/>
  <c r="I57" i="12" s="1"/>
  <c r="I54" i="12"/>
  <c r="C55" i="12"/>
  <c r="C57" i="12" s="1"/>
  <c r="C53" i="12" l="1"/>
  <c r="C56" i="12" s="1"/>
  <c r="I53" i="12"/>
  <c r="I56" i="12" s="1"/>
  <c r="D53" i="12"/>
  <c r="D56" i="12" s="1"/>
  <c r="E53" i="12"/>
  <c r="E56" i="12" s="1"/>
  <c r="G53" i="12"/>
  <c r="G56" i="12" s="1"/>
  <c r="H52" i="12"/>
  <c r="C52" i="12"/>
  <c r="J53" i="12"/>
  <c r="J56" i="12" s="1"/>
  <c r="J52" i="12"/>
  <c r="G52" i="12"/>
  <c r="I52" i="12"/>
  <c r="D52" i="12"/>
  <c r="E52" i="12"/>
  <c r="H53" i="12"/>
  <c r="H56" i="12" s="1"/>
  <c r="G40" i="6" l="1"/>
  <c r="G39" i="6"/>
  <c r="G38" i="6"/>
  <c r="F41" i="6" l="1"/>
  <c r="H14" i="6"/>
  <c r="H15" i="6" s="1"/>
  <c r="H8" i="6"/>
  <c r="H3" i="6"/>
  <c r="D23" i="6" a="1"/>
  <c r="H20" i="6" a="1"/>
  <c r="G41" i="6" l="1"/>
  <c r="H41" i="6" s="1"/>
  <c r="H9" i="6"/>
  <c r="I24" i="6"/>
  <c r="I26" i="6"/>
  <c r="D23" i="6"/>
  <c r="H20" i="6"/>
  <c r="H21" i="6" a="1"/>
  <c r="H22" i="6" a="1"/>
  <c r="H22" i="6" l="1"/>
  <c r="H21" i="6"/>
  <c r="H4" i="6" l="1"/>
  <c r="H6" i="6" s="1"/>
  <c r="L29" i="12" l="1" a="1"/>
  <c r="L29" i="12" s="1"/>
  <c r="H32" i="6" s="1"/>
  <c r="L9" i="12" a="1"/>
  <c r="L49" i="12" a="1"/>
  <c r="L30" i="12" a="1"/>
  <c r="K30" i="12" s="1"/>
  <c r="H34" i="6" s="1"/>
  <c r="K9" i="12" l="1"/>
  <c r="D31" i="6" s="1"/>
  <c r="K49" i="12"/>
  <c r="D34" i="6" s="1"/>
  <c r="L49" i="12"/>
  <c r="D35" i="6" s="1"/>
  <c r="K29" i="12"/>
  <c r="H31" i="6" s="1"/>
  <c r="L30" i="12"/>
  <c r="H35" i="6" s="1"/>
  <c r="L9" i="12"/>
  <c r="D32" i="6" s="1"/>
  <c r="H29" i="6" a="1"/>
  <c r="H29" i="6" l="1"/>
  <c r="C4" i="14" l="1" a="1"/>
  <c r="C3" i="14" s="1"/>
  <c r="Z3" i="12" s="1"/>
  <c r="C4" i="14" l="1"/>
  <c r="Z4" i="12" s="1"/>
  <c r="AE10" i="12" a="1"/>
  <c r="AA10" i="12" a="1"/>
  <c r="Z10" i="12" a="1"/>
  <c r="AD10" i="12" a="1"/>
  <c r="AB10" i="12" a="1"/>
  <c r="AC10" i="12" a="1"/>
  <c r="X10" i="12" a="1"/>
  <c r="Y10" i="12" a="1"/>
  <c r="Y10" i="12" l="1"/>
  <c r="X10" i="12"/>
  <c r="AC10" i="12"/>
  <c r="AA10" i="12"/>
  <c r="AB10" i="12"/>
  <c r="AE10" i="12"/>
  <c r="AD10" i="12"/>
  <c r="Z10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Eismann Ralph</author>
  </authors>
  <commentList>
    <comment ref="C6" authorId="0" shapeId="0" xr:uid="{5005606E-6152-40B4-9E14-714A8825E5EA}">
      <text>
        <r>
          <rPr>
            <b/>
            <sz val="9"/>
            <color indexed="81"/>
            <rFont val="Tahoma"/>
            <family val="2"/>
          </rPr>
          <t>Bei Mäander</t>
        </r>
      </text>
    </comment>
    <comment ref="C9" authorId="0" shapeId="0" xr:uid="{FA18683E-3CDA-4112-88D3-AE78638E03BD}">
      <text>
        <r>
          <rPr>
            <b/>
            <sz val="9"/>
            <color indexed="81"/>
            <rFont val="Tahoma"/>
            <family val="2"/>
          </rPr>
          <t>Vollflächig durchströmte Kühlsegel: Dicke eines der beiden Bleche
Blech mit parallelen Rohren: Blechdicke</t>
        </r>
      </text>
    </comment>
    <comment ref="C10" authorId="0" shapeId="0" xr:uid="{E5E447D8-3B9E-4A42-9969-21CABFAD99B9}">
      <text>
        <r>
          <rPr>
            <b/>
            <sz val="9"/>
            <color indexed="81"/>
            <rFont val="Tahoma"/>
            <family val="2"/>
          </rPr>
          <t>Wenn dieser Wert &gt;0 ist: Bauform Platte+parallele Rohre
Wenn dieser Wert =0: Bauform vollflächig durchströmtes Kühlsegel</t>
        </r>
      </text>
    </comment>
    <comment ref="C12" authorId="0" shapeId="0" xr:uid="{3087C588-E943-4634-81CA-898E35562577}">
      <text>
        <r>
          <rPr>
            <b/>
            <sz val="9"/>
            <color indexed="81"/>
            <rFont val="Tahoma"/>
            <family val="2"/>
          </rPr>
          <t>Nur relevalt bei vollflächig durchströmtem Kühlsegel.</t>
        </r>
      </text>
    </comment>
    <comment ref="C13" authorId="0" shapeId="0" xr:uid="{DE1D219C-720C-489E-8944-18E2E001CCB4}">
      <text>
        <r>
          <rPr>
            <b/>
            <sz val="9"/>
            <color indexed="81"/>
            <rFont val="Tahoma"/>
            <family val="2"/>
          </rPr>
          <t>Wert muss =1 sein bei vollflächig durchströmtem Kühlsegel.</t>
        </r>
      </text>
    </comment>
    <comment ref="C14" authorId="0" shapeId="0" xr:uid="{9AFCF9C0-97E4-46FA-9CC2-6DD54C1BFC2D}">
      <text>
        <r>
          <rPr>
            <b/>
            <sz val="9"/>
            <color indexed="81"/>
            <rFont val="Tahoma"/>
            <family val="2"/>
          </rPr>
          <t>Anzahl Rohre pro Plattenbreite / Anzahl serielle Rohre
muss ganzzahligen Wert geben!
Beispiele:
m=1 -&gt; alle Rohre sind parallel geschaltet
m=n -&gt; alle Rohre sind seriell geschaltet (Mäander)</t>
        </r>
      </text>
    </comment>
    <comment ref="C35" authorId="0" shapeId="0" xr:uid="{EAE365D6-692F-4ED1-AA89-801E503CFE24}">
      <text>
        <r>
          <rPr>
            <b/>
            <sz val="9"/>
            <color indexed="81"/>
            <rFont val="Tahoma"/>
            <family val="2"/>
          </rPr>
          <t>Wird bei Rohr+Platte null gesetzt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Eismann Ralph</author>
  </authors>
  <commentList>
    <comment ref="C6" authorId="0" shapeId="0" xr:uid="{4C6B1CDB-FDB0-4EB0-A380-8185F2EF7082}">
      <text>
        <r>
          <rPr>
            <b/>
            <sz val="9"/>
            <color indexed="81"/>
            <rFont val="Tahoma"/>
            <family val="2"/>
          </rPr>
          <t>Bei Mäander</t>
        </r>
      </text>
    </comment>
    <comment ref="C9" authorId="0" shapeId="0" xr:uid="{BA1DB3BE-6876-42A7-95C9-14184AD6512B}">
      <text>
        <r>
          <rPr>
            <b/>
            <sz val="9"/>
            <color indexed="81"/>
            <rFont val="Tahoma"/>
            <family val="2"/>
          </rPr>
          <t>Vollflächig durchströmte Kühlsegel: Dicke eines der beiden Bleche
Blech mit parallelen Rohren: Blechdicke</t>
        </r>
      </text>
    </comment>
    <comment ref="C10" authorId="0" shapeId="0" xr:uid="{3F14DF68-4CD4-471F-8431-2F8664057E59}">
      <text>
        <r>
          <rPr>
            <b/>
            <sz val="9"/>
            <color indexed="81"/>
            <rFont val="Tahoma"/>
            <family val="2"/>
          </rPr>
          <t>Wenn dieser Wert &gt;0 ist: Bauform Platte+parallele Rohre
Wenn dieser Wert =0: Bauform vollflächig durchströmtes Kühlsegel</t>
        </r>
      </text>
    </comment>
    <comment ref="C12" authorId="0" shapeId="0" xr:uid="{351A3590-DFBA-4A30-B2C9-9CC7A72A481F}">
      <text>
        <r>
          <rPr>
            <b/>
            <sz val="9"/>
            <color indexed="81"/>
            <rFont val="Tahoma"/>
            <family val="2"/>
          </rPr>
          <t>Nur relevalt bei vollflächig durchströmtem Kühlsegel.</t>
        </r>
      </text>
    </comment>
    <comment ref="C13" authorId="0" shapeId="0" xr:uid="{DFE8ED2C-804F-4D95-B790-A48E5EADB74C}">
      <text>
        <r>
          <rPr>
            <b/>
            <sz val="9"/>
            <color indexed="81"/>
            <rFont val="Tahoma"/>
            <family val="2"/>
          </rPr>
          <t>Wert muss =1 sein bei vollflächig durchströmtem Kühlsegel.</t>
        </r>
      </text>
    </comment>
    <comment ref="C14" authorId="0" shapeId="0" xr:uid="{54DC277B-371F-4B57-9E00-A2AE51D5CACB}">
      <text>
        <r>
          <rPr>
            <b/>
            <sz val="9"/>
            <color indexed="81"/>
            <rFont val="Tahoma"/>
            <family val="2"/>
          </rPr>
          <t>Anzahl Rohre pro Plattenbreite / Anzahl serielle Rohre
muss ganzzahligen Wert geben!
Beispiele:
m=1 -&gt; alle Rohre sind parallel geschaltet
m=n -&gt; alle Rohre sind seriell geschaltet (Mäander)</t>
        </r>
      </text>
    </comment>
    <comment ref="C35" authorId="0" shapeId="0" xr:uid="{1A2B067A-7798-4B34-9BC8-ED24BDC73F89}">
      <text>
        <r>
          <rPr>
            <b/>
            <sz val="9"/>
            <color indexed="81"/>
            <rFont val="Tahoma"/>
            <family val="2"/>
          </rPr>
          <t>Wird bei Rohr+Platte null gesetzt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 xr:uid="{993C13FA-87AF-4467-8C7C-70585FF86103}">
      <text>
        <r>
          <rPr>
            <b/>
            <sz val="9"/>
            <color indexed="81"/>
            <rFont val="Tahoma"/>
            <family val="2"/>
          </rPr>
          <t>Wird bei Rohr+Platte null gesetzt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5" authorId="0" shapeId="0" xr:uid="{2AD4EB65-759B-487C-AAF3-3B7D6E1F5396}">
      <text>
        <r>
          <rPr>
            <b/>
            <sz val="9"/>
            <color indexed="81"/>
            <rFont val="Tahoma"/>
            <family val="2"/>
          </rPr>
          <t>Wird bei Rohr+Platte null gesetzt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5" authorId="0" shapeId="0" xr:uid="{D7B02C01-CA87-4AFB-9194-3C1D98D49B1A}">
      <text>
        <r>
          <rPr>
            <b/>
            <sz val="9"/>
            <color indexed="81"/>
            <rFont val="Tahoma"/>
            <family val="2"/>
          </rPr>
          <t>Wird bei Rohr+Platte null gesetzt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5" authorId="0" shapeId="0" xr:uid="{65849BA7-FC4E-4854-81F7-78CD4622FA8D}">
      <text>
        <r>
          <rPr>
            <b/>
            <sz val="9"/>
            <color indexed="81"/>
            <rFont val="Tahoma"/>
            <family val="2"/>
          </rPr>
          <t>Wird bei Rohr+Platte null gesetzt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Eismann Ralph</author>
  </authors>
  <commentList>
    <comment ref="C60" authorId="0" shapeId="0" xr:uid="{96368A27-7340-4496-8AA1-17523C6FA823}">
      <text>
        <r>
          <rPr>
            <b/>
            <sz val="9"/>
            <color indexed="81"/>
            <rFont val="Tahoma"/>
            <family val="2"/>
          </rPr>
          <t>Bei Mäander</t>
        </r>
      </text>
    </comment>
    <comment ref="C61" authorId="0" shapeId="0" xr:uid="{C4D32107-A6D9-4D32-9433-4461B7273BF2}">
      <text>
        <r>
          <rPr>
            <b/>
            <sz val="9"/>
            <color indexed="81"/>
            <rFont val="Tahoma"/>
            <family val="2"/>
          </rPr>
          <t>Bei Mäander</t>
        </r>
      </text>
    </comment>
    <comment ref="C62" authorId="0" shapeId="0" xr:uid="{C140732A-4146-4439-B652-4CBD64A21BB0}">
      <text>
        <r>
          <rPr>
            <b/>
            <sz val="9"/>
            <color indexed="81"/>
            <rFont val="Tahoma"/>
            <family val="2"/>
          </rPr>
          <t>Bei Mäander</t>
        </r>
      </text>
    </comment>
    <comment ref="C63" authorId="0" shapeId="0" xr:uid="{E6194036-F72A-4186-A3E6-E00D4DD735C7}">
      <text>
        <r>
          <rPr>
            <b/>
            <sz val="9"/>
            <color indexed="81"/>
            <rFont val="Tahoma"/>
            <family val="2"/>
          </rPr>
          <t>Bei Mäander</t>
        </r>
      </text>
    </comment>
    <comment ref="C64" authorId="0" shapeId="0" xr:uid="{86C54455-E558-48AE-9096-D1E88F09AC40}">
      <text>
        <r>
          <rPr>
            <b/>
            <sz val="9"/>
            <color indexed="81"/>
            <rFont val="Tahoma"/>
            <family val="2"/>
          </rPr>
          <t>Bei Mäander</t>
        </r>
      </text>
    </comment>
    <comment ref="C65" authorId="0" shapeId="0" xr:uid="{793E8524-029E-4BC0-B25E-75BF6FA846E9}">
      <text>
        <r>
          <rPr>
            <b/>
            <sz val="9"/>
            <color indexed="81"/>
            <rFont val="Tahoma"/>
            <family val="2"/>
          </rPr>
          <t>Bei Mäander</t>
        </r>
      </text>
    </comment>
    <comment ref="C66" authorId="0" shapeId="0" xr:uid="{1423EAF5-BFF6-4F7F-BFEA-1B5C1FB75FD0}">
      <text>
        <r>
          <rPr>
            <b/>
            <sz val="9"/>
            <color indexed="81"/>
            <rFont val="Tahoma"/>
            <family val="2"/>
          </rPr>
          <t>Bei Mäander</t>
        </r>
      </text>
    </comment>
    <comment ref="C67" authorId="0" shapeId="0" xr:uid="{D88DCADD-63D1-4662-93F7-64B793436067}">
      <text>
        <r>
          <rPr>
            <b/>
            <sz val="9"/>
            <color indexed="81"/>
            <rFont val="Tahoma"/>
            <family val="2"/>
          </rPr>
          <t>Bei Mäander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Eismann Ralph</author>
    <author>Ralph Eismann</author>
  </authors>
  <commentList>
    <comment ref="D28" authorId="0" shapeId="0" xr:uid="{97FB7C51-3F9E-4B4C-8794-66B96846642B}">
      <text>
        <r>
          <rPr>
            <b/>
            <sz val="9"/>
            <color indexed="81"/>
            <rFont val="Tahoma"/>
            <family val="2"/>
          </rPr>
          <t>&gt;0 für Kühlsegel
=0 für Kapillarrohrmatte
Bei Kapillarrohrmatte Wärmeleitfähigkeit der Putzschicht reduzieren.</t>
        </r>
      </text>
    </comment>
    <comment ref="D38" authorId="1" shapeId="0" xr:uid="{3508184B-56BF-4C90-B133-448F783D93E9}">
      <text>
        <r>
          <rPr>
            <b/>
            <sz val="9"/>
            <color indexed="81"/>
            <rFont val="Segoe UI"/>
            <family val="2"/>
          </rPr>
          <t>Falls oben Free Cooling aktiviert ist, ergibt sich die Fluidtemperatur entsprechend.
Falls WP gewählt wurde, kann eine konstante mittlere Fluidtemperatur vorgegeben werdenc.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A43" authorId="0" shapeId="0" xr:uid="{DD06802C-8219-49E3-9010-89E6837B002A}">
      <text>
        <r>
          <rPr>
            <b/>
            <sz val="9"/>
            <color indexed="81"/>
            <rFont val="Tahoma"/>
            <family val="2"/>
          </rPr>
          <t>Eismann Ralph:</t>
        </r>
        <r>
          <rPr>
            <sz val="9"/>
            <color indexed="81"/>
            <rFont val="Tahoma"/>
            <family val="2"/>
          </rPr>
          <t xml:space="preserve">
Noch nicht umgesetzt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<sst xmlns="http://schemas.openxmlformats.org/spreadsheetml/2006/main" count="897" uniqueCount="442">
  <si>
    <t>Halbempirisches Modell für plattenförmige Kühlsegel</t>
  </si>
  <si>
    <t>FHNW</t>
  </si>
  <si>
    <t>Institut Nachhaltigkeit und Energie am Bau</t>
  </si>
  <si>
    <t>Wärmeübergang Rohr - Blech</t>
  </si>
  <si>
    <r>
      <rPr>
        <b/>
        <sz val="11"/>
        <color theme="1"/>
        <rFont val="Calibri"/>
        <family val="2"/>
        <scheme val="minor"/>
      </rPr>
      <t>Parameter des empirischen Modells</t>
    </r>
    <r>
      <rPr>
        <sz val="11"/>
        <color theme="1"/>
        <rFont val="Calibri"/>
        <family val="2"/>
        <scheme val="minor"/>
      </rPr>
      <t xml:space="preserve"> nach DIN EN 14240 aus Datenblatt</t>
    </r>
  </si>
  <si>
    <t>Temperaturverteilung</t>
  </si>
  <si>
    <t>L_P</t>
  </si>
  <si>
    <t>U</t>
  </si>
  <si>
    <t>Leistungsfaktor k</t>
  </si>
  <si>
    <r>
      <t>W/Km</t>
    </r>
    <r>
      <rPr>
        <vertAlign val="superscript"/>
        <sz val="11"/>
        <color theme="1"/>
        <rFont val="Calibri"/>
        <family val="2"/>
        <scheme val="minor"/>
      </rPr>
      <t>n</t>
    </r>
  </si>
  <si>
    <t>Ort</t>
  </si>
  <si>
    <t>ϑ(x)</t>
  </si>
  <si>
    <t>W/Km</t>
  </si>
  <si>
    <t>W/Km2</t>
  </si>
  <si>
    <t>Exponent n</t>
  </si>
  <si>
    <t xml:space="preserve"> -</t>
  </si>
  <si>
    <t>m</t>
  </si>
  <si>
    <t>°C</t>
  </si>
  <si>
    <t>Recknagel (2021)</t>
  </si>
  <si>
    <t>Blechlamellen + Rohre</t>
  </si>
  <si>
    <t>15..35</t>
  </si>
  <si>
    <t>Abmessungen des Kühlsegels</t>
  </si>
  <si>
    <t>Prüfraum</t>
  </si>
  <si>
    <t>Al-Strangpressprofil + Rohr</t>
  </si>
  <si>
    <t>Breite B_P</t>
  </si>
  <si>
    <t>Länge</t>
  </si>
  <si>
    <t>Eismann (2015)</t>
  </si>
  <si>
    <t>Laser welding</t>
  </si>
  <si>
    <t>Länge (Richtung der Strömungskanäle) L_P</t>
  </si>
  <si>
    <t>Breite</t>
  </si>
  <si>
    <t>Garg et al. (1981)</t>
  </si>
  <si>
    <t>Aluminiumblech + Rohr geklemmt</t>
  </si>
  <si>
    <t>Fläche einer Seite</t>
  </si>
  <si>
    <t>m2</t>
  </si>
  <si>
    <t>Höhe</t>
  </si>
  <si>
    <t>Aluminiumblech + Rohr genietet</t>
  </si>
  <si>
    <t>Dicke s</t>
  </si>
  <si>
    <t>Gesamte Oberfläche</t>
  </si>
  <si>
    <t>Aluminiumblech + wärmeleitender Epoxi Klebstoff</t>
  </si>
  <si>
    <t>Durchmesser eines kreisförmigen Strömungskanals d</t>
  </si>
  <si>
    <t>Emissionsvermögen Raumflächen</t>
  </si>
  <si>
    <t>Wärmeleitvermögen der Verbindung Rohr-Platte</t>
  </si>
  <si>
    <t>Ref.temperatur des Raumknotens</t>
  </si>
  <si>
    <t>Höhe eines volldurchströmten Plattenspaltes</t>
  </si>
  <si>
    <t>Temperaturdifferenz Raum-Globus</t>
  </si>
  <si>
    <t>K</t>
  </si>
  <si>
    <t>Anzahl Strömungskanäle pro Plattenbreite n</t>
  </si>
  <si>
    <t>Anzahl seriell geschaltete Strömungskanäle m</t>
  </si>
  <si>
    <t>Querschnitt total</t>
  </si>
  <si>
    <t>Halbe Plattenbreite b zwischen zwei Strömungskanälen</t>
  </si>
  <si>
    <t>Stoffdaten</t>
  </si>
  <si>
    <t>Wärmeleitfähigkeit des Plattenmaterials</t>
  </si>
  <si>
    <t xml:space="preserve">W/Km </t>
  </si>
  <si>
    <t>Emissionsvermögen der Oberseite</t>
  </si>
  <si>
    <t>Dichte von Wasser</t>
  </si>
  <si>
    <t>kg/m3</t>
  </si>
  <si>
    <t>Emissionsvermögen der Unterseite</t>
  </si>
  <si>
    <t>Wärmeleitfähigkeit von Wasser</t>
  </si>
  <si>
    <t>Kinemat. Viskosität von Wasser</t>
  </si>
  <si>
    <t>m2/s</t>
  </si>
  <si>
    <t>Wärmekapazität von Wasser</t>
  </si>
  <si>
    <t>J/kgK</t>
  </si>
  <si>
    <t>Betriebsbedingungen</t>
  </si>
  <si>
    <t>Flächenbezogener Durchfluss aus Datenblatt/Prüfbericht</t>
  </si>
  <si>
    <t>Mittlere Temperatur des Fluids</t>
  </si>
  <si>
    <t>Gesamtmassenstrom im Test</t>
  </si>
  <si>
    <t>kg/h</t>
  </si>
  <si>
    <t>Leistungsdichte Kühlsegel nach empirischem Modell</t>
  </si>
  <si>
    <t>W/m2</t>
  </si>
  <si>
    <t>Flächenbezogener Massenstrom Wasser</t>
  </si>
  <si>
    <t>kg/m2s</t>
  </si>
  <si>
    <t>Volumenstrom</t>
  </si>
  <si>
    <t>m3/s</t>
  </si>
  <si>
    <t>Fliessgeschwindigkeit</t>
  </si>
  <si>
    <t>m/s</t>
  </si>
  <si>
    <t>Reynoldszahl</t>
  </si>
  <si>
    <t>Prandtlzahl Wasser</t>
  </si>
  <si>
    <t>Nusseltzahl</t>
  </si>
  <si>
    <t>Wärmeübergang zum Fluid</t>
  </si>
  <si>
    <r>
      <t>W/Km</t>
    </r>
    <r>
      <rPr>
        <vertAlign val="superscript"/>
        <sz val="11"/>
        <color theme="1"/>
        <rFont val="Calibri"/>
        <family val="2"/>
        <scheme val="minor"/>
      </rPr>
      <t>2</t>
    </r>
  </si>
  <si>
    <t>Temperatur an der Basis</t>
  </si>
  <si>
    <t>Innerer Wärmedurchgangskoeffizient U</t>
  </si>
  <si>
    <t>x</t>
  </si>
  <si>
    <t>ϑ_m</t>
  </si>
  <si>
    <t>ϑ_b</t>
  </si>
  <si>
    <t>ϑ_P</t>
  </si>
  <si>
    <t>ϑ_i</t>
  </si>
  <si>
    <t>Temperaturzuschlag zur Berücksichtigung der inhomogenität</t>
  </si>
  <si>
    <t>proportional zur Leistung</t>
  </si>
  <si>
    <t>Mittlere Plattentemperatur (basierend auf Fluidtemp.)</t>
  </si>
  <si>
    <t>Temperaturdifferenz</t>
  </si>
  <si>
    <t>Beispiel KIGO Standard</t>
  </si>
  <si>
    <t>Re</t>
  </si>
  <si>
    <t>Nu</t>
  </si>
  <si>
    <t>Blechdicke</t>
  </si>
  <si>
    <t>Volumen</t>
  </si>
  <si>
    <t>m3</t>
  </si>
  <si>
    <t>Dichte Edelstahl</t>
  </si>
  <si>
    <t>Masse</t>
  </si>
  <si>
    <t>Masse gefüllt</t>
  </si>
  <si>
    <t>Dichte Wasser</t>
  </si>
  <si>
    <t>Volumen Wasser</t>
  </si>
  <si>
    <t>Durchströmter Anteil</t>
  </si>
  <si>
    <t>Mittlere Höhe eines volldurchströmten Plattenspaltes</t>
  </si>
  <si>
    <t>wird in Zelle C12 benötigt</t>
  </si>
  <si>
    <t>Analytisches Modell für plattenförmige Kühlsegel</t>
  </si>
  <si>
    <t>Temperatur des Raumknotens</t>
  </si>
  <si>
    <t>Mittlere Teperaturdifferenz</t>
  </si>
  <si>
    <t>Leistungsdichte Kühlsegel</t>
  </si>
  <si>
    <t>Korrelationen für den konvektiven Wärmeübergang und Strahlungsaustausch</t>
  </si>
  <si>
    <t>Vergleich Datenblatt - Prototyp</t>
  </si>
  <si>
    <t>Parameter des empirischen Modells nach DIN EN 14240</t>
  </si>
  <si>
    <t>Legende:</t>
  </si>
  <si>
    <t>Eingabe</t>
  </si>
  <si>
    <t>Daten übernehmen</t>
  </si>
  <si>
    <t>Datenblatt</t>
  </si>
  <si>
    <t>Prototyp opt.</t>
  </si>
  <si>
    <t>Formeln empirisches Modell</t>
  </si>
  <si>
    <t>Raumluft</t>
  </si>
  <si>
    <t>Formeln analytisches Modell</t>
  </si>
  <si>
    <t>Beahr&amp;Stephan</t>
  </si>
  <si>
    <t>Kühlsegelfläche</t>
  </si>
  <si>
    <t>Lloyd+Lewandowski</t>
  </si>
  <si>
    <t>Referenz- und Raumlufttemperatur</t>
  </si>
  <si>
    <t>Übertrag aus "Kühlsegel"</t>
  </si>
  <si>
    <t>Mittlere Fluidtemperatur</t>
  </si>
  <si>
    <t>k</t>
  </si>
  <si>
    <t>n</t>
  </si>
  <si>
    <t>Differenz Fluid-Referenztemperatur</t>
  </si>
  <si>
    <t>Gesamtleistung</t>
  </si>
  <si>
    <t>Mittlere Oberflächentemperatur des Kühlsegels</t>
  </si>
  <si>
    <t>Differenz Oberflächen-Lufttemperatur</t>
  </si>
  <si>
    <t xml:space="preserve">K </t>
  </si>
  <si>
    <t>Mittlere Lufttemperatur</t>
  </si>
  <si>
    <t>Dichte der Luft</t>
  </si>
  <si>
    <t>Spezifische Wärmekapazität Luft</t>
  </si>
  <si>
    <t>Kinematische Viskosität Luft</t>
  </si>
  <si>
    <t>Wärmeleitfähigkeit Luft</t>
  </si>
  <si>
    <t>Prandtlzahl Luft</t>
  </si>
  <si>
    <t>Expansionskoeffizient</t>
  </si>
  <si>
    <t>1/K</t>
  </si>
  <si>
    <t>Dimensionen des Kühlsegels</t>
  </si>
  <si>
    <t>Emissivitäten</t>
  </si>
  <si>
    <t>Anzahl Module ohne Abstand in Längsrichtung</t>
  </si>
  <si>
    <t xml:space="preserve">m </t>
  </si>
  <si>
    <t>Begrenzungsflächen des Raumes</t>
  </si>
  <si>
    <t>Anzahl Module ohne Abstand in Querrichtung</t>
  </si>
  <si>
    <t xml:space="preserve">Kühlsegel zum Raum </t>
  </si>
  <si>
    <t>Anzahl Module im Prüfraum</t>
  </si>
  <si>
    <t>Kühlsegel zur Decke</t>
  </si>
  <si>
    <t>Gesamte Projektionsfläche</t>
  </si>
  <si>
    <t>Charakteristische Länge</t>
  </si>
  <si>
    <t>Strahlung</t>
  </si>
  <si>
    <t>Strahlungsanteil Raum</t>
  </si>
  <si>
    <t>Rad. Oben</t>
  </si>
  <si>
    <t>Rad. Unten</t>
  </si>
  <si>
    <t>Konvektion Oberseite des Kühlsegels</t>
  </si>
  <si>
    <t>Rayleighzahl</t>
  </si>
  <si>
    <t>Nu Lewandowski</t>
  </si>
  <si>
    <t>alpha_Lewandowski</t>
  </si>
  <si>
    <t>Anteil Lewandowski</t>
  </si>
  <si>
    <t>Hilfsfunktion phi_2 ^1/5 (Baehr)</t>
  </si>
  <si>
    <t>Nu_Baehr</t>
  </si>
  <si>
    <t>alpha_Baehr</t>
  </si>
  <si>
    <t>Anteil Baehr&amp;Stephan</t>
  </si>
  <si>
    <t>Konvektion Unterseite des Kühlsegels</t>
  </si>
  <si>
    <t>Nu Lloyd et al.</t>
  </si>
  <si>
    <t>alpha_Lloyd et al.</t>
  </si>
  <si>
    <t>Anteil Konvektion Lloyd et al.</t>
  </si>
  <si>
    <t>Hilfsfunktion phi_1 ^1/5 (Baehr)</t>
  </si>
  <si>
    <t>Nu_Baehr&amp;Stephan</t>
  </si>
  <si>
    <t>alpha_Baehr&amp;Stephan</t>
  </si>
  <si>
    <t>Konvektion</t>
  </si>
  <si>
    <t>Leistungsdichte - Strahlung Oberseite</t>
  </si>
  <si>
    <t xml:space="preserve">Ln </t>
  </si>
  <si>
    <t>Strahlung + Baehr&amp;Stephan</t>
  </si>
  <si>
    <t>Baehr&amp;Stephan</t>
  </si>
  <si>
    <t>Strahlung + Lloyd+Lewandowski</t>
  </si>
  <si>
    <t>Lloyd, Lewandowski</t>
  </si>
  <si>
    <t>Rel. Differenz Emprisch - Baehr+Stephan</t>
  </si>
  <si>
    <t>Rel. Differenz Emprisch - Lloyd+Lewandowski</t>
  </si>
  <si>
    <t>Abmessungen der Platte</t>
  </si>
  <si>
    <t>kg/sm2</t>
  </si>
  <si>
    <t>Mittlere Temperaturerhöhung durch Inhomogenität</t>
  </si>
  <si>
    <t>Modell für die nächtliche Wärmeabgabe über ein Kollektorfeld</t>
  </si>
  <si>
    <t>Kollektorfeld</t>
  </si>
  <si>
    <t>Randbedingungen</t>
  </si>
  <si>
    <t>Kollektortyp</t>
  </si>
  <si>
    <t>P5</t>
  </si>
  <si>
    <t>Zeit</t>
  </si>
  <si>
    <t>EL</t>
  </si>
  <si>
    <t>w</t>
  </si>
  <si>
    <t>Qu</t>
  </si>
  <si>
    <t>Modulfläche</t>
  </si>
  <si>
    <t>Anzahl Module</t>
  </si>
  <si>
    <t>h</t>
  </si>
  <si>
    <t>Kollektorfläche</t>
  </si>
  <si>
    <t>Nächtliche Kühlung eines Raumes</t>
  </si>
  <si>
    <t>Minimale Distanz zwischen zwei Rechenknoten</t>
  </si>
  <si>
    <t>Abmessungen des Raumes</t>
  </si>
  <si>
    <t>lambda</t>
  </si>
  <si>
    <t>alpha</t>
  </si>
  <si>
    <t>L</t>
  </si>
  <si>
    <t>Bi</t>
  </si>
  <si>
    <t>L_R</t>
  </si>
  <si>
    <t>V</t>
  </si>
  <si>
    <t>mm</t>
  </si>
  <si>
    <t>B_R</t>
  </si>
  <si>
    <t>Wärmekapazität Luftvolumen</t>
  </si>
  <si>
    <t>C_A</t>
  </si>
  <si>
    <t>Gipsplatte</t>
  </si>
  <si>
    <t>H_R</t>
  </si>
  <si>
    <t>Beton</t>
  </si>
  <si>
    <t>A_F</t>
  </si>
  <si>
    <t>Gesamte Wärmekapazität</t>
  </si>
  <si>
    <t>C_tot</t>
  </si>
  <si>
    <t>J/K</t>
  </si>
  <si>
    <t>Holz</t>
  </si>
  <si>
    <t>Geschossdecke</t>
  </si>
  <si>
    <t>Dicke</t>
  </si>
  <si>
    <t>D_D</t>
  </si>
  <si>
    <t>Deckenfläche</t>
  </si>
  <si>
    <t>A_D</t>
  </si>
  <si>
    <t>Dichte</t>
  </si>
  <si>
    <t>rho_D</t>
  </si>
  <si>
    <t>Wärmekapazität Geschossdecke</t>
  </si>
  <si>
    <t>C_R</t>
  </si>
  <si>
    <t>Spezifische Wärmekapazität</t>
  </si>
  <si>
    <t>cp_D</t>
  </si>
  <si>
    <t>Anzahl Knoten</t>
  </si>
  <si>
    <t>n_D</t>
  </si>
  <si>
    <t>Wärmeleitfähigkeit</t>
  </si>
  <si>
    <t>lam_D</t>
  </si>
  <si>
    <t>Maximale Dicke der Randschicht</t>
  </si>
  <si>
    <t>s_D</t>
  </si>
  <si>
    <t>Emissivität</t>
  </si>
  <si>
    <t>eps_D</t>
  </si>
  <si>
    <t>Erf. Anzahl Knoten</t>
  </si>
  <si>
    <t>n_erf</t>
  </si>
  <si>
    <t>Wände und Boden</t>
  </si>
  <si>
    <t>Dicke Oberflächenschicht</t>
  </si>
  <si>
    <t>s_DO</t>
  </si>
  <si>
    <t>Mittlere aktive Dicke</t>
  </si>
  <si>
    <t>D_W</t>
  </si>
  <si>
    <t>Wand+Bodenfläche</t>
  </si>
  <si>
    <t>A_R</t>
  </si>
  <si>
    <t>Mittlere Dichte</t>
  </si>
  <si>
    <t>rho_W</t>
  </si>
  <si>
    <t>Wärmekapazität Wand+Boden</t>
  </si>
  <si>
    <t>Mittlere spezifische Wärmekapazität</t>
  </si>
  <si>
    <t>cp_W</t>
  </si>
  <si>
    <t>Mittlere Wärmeleitfähigkeit</t>
  </si>
  <si>
    <t>Mittlere Emissivität</t>
  </si>
  <si>
    <t>eps_W</t>
  </si>
  <si>
    <t>Luft</t>
  </si>
  <si>
    <t>Anfangstemperatur</t>
  </si>
  <si>
    <t>T_init</t>
  </si>
  <si>
    <t>Taupunkttemperatur</t>
  </si>
  <si>
    <t>T_tau</t>
  </si>
  <si>
    <t>Rel. Luftfeuchte</t>
  </si>
  <si>
    <t>phi_A</t>
  </si>
  <si>
    <t>rho_A</t>
  </si>
  <si>
    <t>Höhe über Meer</t>
  </si>
  <si>
    <t xml:space="preserve">h </t>
  </si>
  <si>
    <t>cp_A</t>
  </si>
  <si>
    <t xml:space="preserve">Anteil </t>
  </si>
  <si>
    <t>Luftdruck</t>
  </si>
  <si>
    <t>p_A</t>
  </si>
  <si>
    <t>Pa</t>
  </si>
  <si>
    <t>Decke %</t>
  </si>
  <si>
    <t>Kapillarrohrmatte</t>
  </si>
  <si>
    <t>A</t>
  </si>
  <si>
    <t>Abminderungsfaktor lambda Oberfl.</t>
  </si>
  <si>
    <t>Kühlsegel</t>
  </si>
  <si>
    <t>Fläche pro Modul</t>
  </si>
  <si>
    <t>A_P</t>
  </si>
  <si>
    <t>Gesamtfläche</t>
  </si>
  <si>
    <t>A_K</t>
  </si>
  <si>
    <t>n_P</t>
  </si>
  <si>
    <t>Abstand zur Decke</t>
  </si>
  <si>
    <t>s_P</t>
  </si>
  <si>
    <t>Leistung zu Beginn</t>
  </si>
  <si>
    <t>Qs_P</t>
  </si>
  <si>
    <t>W</t>
  </si>
  <si>
    <t>Leistungsdaten nach Datenblatt</t>
  </si>
  <si>
    <t>Strahlungsaustausch Decke</t>
  </si>
  <si>
    <t>Wärmeübertragungskoeffizient</t>
  </si>
  <si>
    <r>
      <t>W/(m2K</t>
    </r>
    <r>
      <rPr>
        <vertAlign val="superscript"/>
        <sz val="11"/>
        <color theme="1"/>
        <rFont val="Calibri"/>
        <family val="2"/>
        <scheme val="minor"/>
      </rPr>
      <t>n</t>
    </r>
    <r>
      <rPr>
        <sz val="11"/>
        <color theme="1"/>
        <rFont val="Calibri"/>
        <family val="2"/>
        <scheme val="minor"/>
      </rPr>
      <t>)</t>
    </r>
  </si>
  <si>
    <t>k_r,D</t>
  </si>
  <si>
    <t>Exponent</t>
  </si>
  <si>
    <t>n_r,D</t>
  </si>
  <si>
    <t>Leistungsparameter für Konvektion</t>
  </si>
  <si>
    <t>Strahlungsaustausch Raum</t>
  </si>
  <si>
    <t>k_c</t>
  </si>
  <si>
    <t>k_r,B</t>
  </si>
  <si>
    <t>n_c</t>
  </si>
  <si>
    <t>n_r,B</t>
  </si>
  <si>
    <t>Entzogene Wärmemengen</t>
  </si>
  <si>
    <t>kJ</t>
  </si>
  <si>
    <t>kWh</t>
  </si>
  <si>
    <t>T_l</t>
  </si>
  <si>
    <t>Decke</t>
  </si>
  <si>
    <t>Startzeit</t>
  </si>
  <si>
    <t>Wände+Boden</t>
  </si>
  <si>
    <t>Anteil</t>
  </si>
  <si>
    <t>Zeitdauer</t>
  </si>
  <si>
    <t>%</t>
  </si>
  <si>
    <t>Total</t>
  </si>
  <si>
    <t>Vorgaben für die Simulation</t>
  </si>
  <si>
    <t>Erforderlich</t>
  </si>
  <si>
    <t>SIA</t>
  </si>
  <si>
    <t>Kühlsegelmodell</t>
  </si>
  <si>
    <t>Potenzfunktion</t>
  </si>
  <si>
    <t>Wärmeübertrager Free Cooling</t>
  </si>
  <si>
    <t>Qs_0</t>
  </si>
  <si>
    <t>kW</t>
  </si>
  <si>
    <t>ΔT_0</t>
  </si>
  <si>
    <t>Datensatz Wetterdaten</t>
  </si>
  <si>
    <t>July, clear, warm (6. Juli)</t>
  </si>
  <si>
    <t>Konvektion Decke</t>
  </si>
  <si>
    <t>Vorgabe</t>
  </si>
  <si>
    <t>Konvektion Wand+Boden</t>
  </si>
  <si>
    <t>Daten nach Auslegung HSLU</t>
  </si>
  <si>
    <t>Büro</t>
  </si>
  <si>
    <t>Energiebezugsfläche Büro</t>
  </si>
  <si>
    <t>Energiebezugsfläche Gebäude</t>
  </si>
  <si>
    <t>Abwärme Büro</t>
  </si>
  <si>
    <t>Mittlere Entzugsleistung</t>
  </si>
  <si>
    <t>Abwärme Gebäude</t>
  </si>
  <si>
    <t>Abschätzung des Volumens von Speichern</t>
  </si>
  <si>
    <t>Wasser</t>
  </si>
  <si>
    <t>Kies-Wasser Speicher</t>
  </si>
  <si>
    <t>Temperaturhub</t>
  </si>
  <si>
    <t>J/m3K</t>
  </si>
  <si>
    <t>Erforderliches Volumen</t>
  </si>
  <si>
    <t>Durchmesser</t>
  </si>
  <si>
    <t>Tiefe</t>
  </si>
  <si>
    <t>Für Diagramm</t>
  </si>
  <si>
    <t>Gebäude</t>
  </si>
  <si>
    <t>Energiebezugsfläche</t>
  </si>
  <si>
    <t>Abzuführende Wärme</t>
  </si>
  <si>
    <r>
      <t xml:space="preserve">Puffer </t>
    </r>
    <r>
      <rPr>
        <sz val="11"/>
        <color theme="1"/>
        <rFont val="Calibri"/>
        <family val="2"/>
      </rPr>
      <t>ΔT =</t>
    </r>
    <r>
      <rPr>
        <sz val="11"/>
        <color theme="1"/>
        <rFont val="Calibri"/>
        <family val="2"/>
        <scheme val="minor"/>
      </rPr>
      <t xml:space="preserve"> 5K</t>
    </r>
  </si>
  <si>
    <t>Kies  ΔT =  5K</t>
  </si>
  <si>
    <t>Puffer  ΔT =  10K</t>
  </si>
  <si>
    <t>Kies  ΔT =  10K</t>
  </si>
  <si>
    <t>t</t>
  </si>
  <si>
    <t>T_a</t>
  </si>
  <si>
    <t>T_l_Koll</t>
  </si>
  <si>
    <t>Varianten der Simulation</t>
  </si>
  <si>
    <t>Mittlere Fluidtemperatur vorgegeben</t>
  </si>
  <si>
    <t>Daraus ergibt sich die abzuführende Leistung</t>
  </si>
  <si>
    <t>Aus der abzuführenden Leistung und den Wetterdaten kann die erforderliche mittlere Abgabetemperatur berechnet werden.</t>
  </si>
  <si>
    <t>Bei Maximalleistung Grädigkeit des WU definieren. Diese nimmt linear mit abnehmender Leistung ab.</t>
  </si>
  <si>
    <t>Daraus ergibt sich die mittlere Abgabetemperatur bei Free Cooling</t>
  </si>
  <si>
    <t>Daraus ergibt sich die mittlere Abgabetemperatur</t>
  </si>
  <si>
    <t>Free Cooling:</t>
  </si>
  <si>
    <t>Annahme einer mittleren Fluidtemperatur T_l=T_i-1</t>
  </si>
  <si>
    <t>Kühlbetrieb starten, falls T_a&lt;T_i-2</t>
  </si>
  <si>
    <t>Kühlbetrieb stoppen, falls T_i&lt;=T_a+2</t>
  </si>
  <si>
    <t>Berechnen der Kühlleistung</t>
  </si>
  <si>
    <t>Berechnen der Grädigkeit</t>
  </si>
  <si>
    <t>Berechnen der Abgabetemperatur</t>
  </si>
  <si>
    <t>Berechnen der Abgabeleistung</t>
  </si>
  <si>
    <t>Falls Kühlleistung &gt; Abgabeleistung T_l=T_l + delta_T</t>
  </si>
  <si>
    <t>Falls Kühlleistung &lt; Abgabeleistung T_l=T_l - delta_T</t>
  </si>
  <si>
    <t>Bei Vorzeichenwechsel delta_T=delta_T/2</t>
  </si>
  <si>
    <t>Wiederholen ab 1 bis Leistungen nicht mehr als 1% abweichen</t>
  </si>
  <si>
    <t>Resultate sind  T_l, T_K, Qs, Q</t>
  </si>
  <si>
    <t>Wärmepumpe:</t>
  </si>
  <si>
    <t>Grädigkeit von Verdampfer und Kondensator vorgeben</t>
  </si>
  <si>
    <t>Temperaturhub berechnen</t>
  </si>
  <si>
    <t>Kollektor</t>
  </si>
  <si>
    <t>eta0,b</t>
  </si>
  <si>
    <t>Κ</t>
  </si>
  <si>
    <t>Kd</t>
  </si>
  <si>
    <t xml:space="preserve">a1 </t>
  </si>
  <si>
    <t xml:space="preserve">a2 </t>
  </si>
  <si>
    <t xml:space="preserve">a3 </t>
  </si>
  <si>
    <t>a4</t>
  </si>
  <si>
    <t xml:space="preserve">a5 </t>
  </si>
  <si>
    <t xml:space="preserve">a6 </t>
  </si>
  <si>
    <t xml:space="preserve">a7 </t>
  </si>
  <si>
    <t xml:space="preserve">a8 </t>
  </si>
  <si>
    <t>Parameter bestimmt nach der modifizierten ISO 9806</t>
  </si>
  <si>
    <t>Typ</t>
  </si>
  <si>
    <t>W/(m²K)</t>
  </si>
  <si>
    <t>W/(m²K²)</t>
  </si>
  <si>
    <t>Ws/(m3K)</t>
  </si>
  <si>
    <t>Ws/(m2K)</t>
  </si>
  <si>
    <t>s/m</t>
  </si>
  <si>
    <t>W/(m2K4)</t>
  </si>
  <si>
    <t>auf dem Prüfstand des SPF in Rapperswil</t>
  </si>
  <si>
    <t>P1</t>
  </si>
  <si>
    <t>P2</t>
  </si>
  <si>
    <t>P3</t>
  </si>
  <si>
    <t>P4</t>
  </si>
  <si>
    <t>P6</t>
  </si>
  <si>
    <t>Typische Tagesdatensätze für Umgebungsbedingungen</t>
  </si>
  <si>
    <t>May, clear, warm (13. Mai)</t>
  </si>
  <si>
    <t>May, grey (1. Mai)</t>
  </si>
  <si>
    <t>July, grey (30. Juli)</t>
  </si>
  <si>
    <t>G</t>
  </si>
  <si>
    <t>v</t>
  </si>
  <si>
    <t>Umgebungsprofile</t>
  </si>
  <si>
    <t>T_i</t>
  </si>
  <si>
    <t>Test</t>
  </si>
  <si>
    <t>T_sky</t>
  </si>
  <si>
    <t>T_l - T_a</t>
  </si>
  <si>
    <t>Mittlere Fluidtemperatur T_l</t>
  </si>
  <si>
    <t>Qs_Koll</t>
  </si>
  <si>
    <t>Qs_S</t>
  </si>
  <si>
    <t>R_K</t>
  </si>
  <si>
    <t>A_S</t>
  </si>
  <si>
    <t>WP-Betrieb vor Free Cooling</t>
  </si>
  <si>
    <t>Glasfläche der Fenster</t>
  </si>
  <si>
    <t>Vergleichsrechnung</t>
  </si>
  <si>
    <t>4K, P3</t>
  </si>
  <si>
    <t>2K, P3</t>
  </si>
  <si>
    <t>4K, P5</t>
  </si>
  <si>
    <t>2K, P5</t>
  </si>
  <si>
    <t>unterschiedliche Grädigkeit und Kollektor</t>
  </si>
  <si>
    <t>unterschiedliche Umgebungsbedingungen</t>
  </si>
  <si>
    <t>July, clear, warm</t>
  </si>
  <si>
    <t>July, grey</t>
  </si>
  <si>
    <t>May, grey</t>
  </si>
  <si>
    <t>May, clear, warm</t>
  </si>
  <si>
    <t>Dicke der Platte   s</t>
  </si>
  <si>
    <t>Durchmesser eines kreisförmigen Strömungskanals   d</t>
  </si>
  <si>
    <t>Höhe eines volldurchströmten Plattenspaltes   h</t>
  </si>
  <si>
    <t>Anzahl Strömungskanäle pro Plattenbreite   n</t>
  </si>
  <si>
    <t>Anzahl seriell geschaltete Strömungskanäle   m</t>
  </si>
  <si>
    <t>Grädigkeit Wärmeübertrager</t>
  </si>
  <si>
    <t>Gesamtsystem, WP</t>
  </si>
  <si>
    <t>'CoolShift-beta</t>
  </si>
  <si>
    <t>'Copyright: Prof. Dr. Ralph Eismann, Fachhochschule Nordwestschweiz.</t>
  </si>
  <si>
    <t>'Published as Open-Source under Creative Commons Attribution 4.0 (CC BY) (https://creativecommons.org/licenses/by/4.0/):</t>
  </si>
  <si>
    <t>'</t>
  </si>
  <si>
    <t>'THE SOFTWARE IS PROVIDED "AS IS", WITHOUT WARRANTY OF ANY KIND, EXPRESS OR IMPLIED, INCLUDING BUT NOT LIMITED</t>
  </si>
  <si>
    <t>'TO THE WARRANTIES OF MERCHANTABILITY, FITNESS FOR A PARTICULAR PURPOSE AND NONINFRINGEMENT. IN NO EVENT SHALL</t>
  </si>
  <si>
    <t>'THE AUTHORS OR COPYRIGHT HOLDERS BE LIABLE FOR ANY CLAIM, DAMAGES OR OTHER LIABILITY, WHETHER IN AN ACTION OF</t>
  </si>
  <si>
    <t>'CONTRACT, TORT OR OTHERWISE, ARISING FROM, OUT OF OR IN CONNECTION WITH THE SOFTWARE OR THE USE OR OTHER</t>
  </si>
  <si>
    <t>'DEALINGS IN THE SOFTWARE.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</si>
</sst>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"/>
    <numFmt numFmtId="166" formatCode="0.0E+00"/>
    <numFmt numFmtId="167" formatCode="#,##0.000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Times New Roman"/>
      <family val="1"/>
    </font>
    <font>
      <sz val="9"/>
      <color indexed="81"/>
      <name val="Tahoma"/>
      <family val="2"/>
    </font>
    <font>
      <sz val="11"/>
      <color theme="8" tint="0.59999389629810485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2" borderId="0" xfId="0" applyFill="1"/>
    <xf numFmtId="11" fontId="0" fillId="3" borderId="0" xfId="0" applyNumberFormat="1" applyFill="1"/>
    <xf numFmtId="1" fontId="0" fillId="3" borderId="0" xfId="0" applyNumberFormat="1" applyFill="1"/>
    <xf numFmtId="0" fontId="0" fillId="4" borderId="0" xfId="0" applyFill="1"/>
    <xf numFmtId="2" fontId="0" fillId="0" borderId="0" xfId="0" applyNumberFormat="1"/>
    <xf numFmtId="0" fontId="0" fillId="0" borderId="0" xfId="0" applyAlignment="1">
      <alignment horizontal="center"/>
    </xf>
    <xf numFmtId="0" fontId="2" fillId="5" borderId="0" xfId="0" applyFont="1" applyFill="1"/>
    <xf numFmtId="0" fontId="1" fillId="4" borderId="0" xfId="0" applyFont="1" applyFill="1"/>
    <xf numFmtId="0" fontId="0" fillId="4" borderId="0" xfId="0" applyFill="1" applyAlignment="1">
      <alignment horizontal="center"/>
    </xf>
    <xf numFmtId="0" fontId="0" fillId="6" borderId="0" xfId="0" applyFill="1"/>
    <xf numFmtId="11" fontId="0" fillId="6" borderId="0" xfId="0" applyNumberFormat="1" applyFill="1"/>
    <xf numFmtId="2" fontId="0" fillId="6" borderId="0" xfId="0" applyNumberFormat="1" applyFill="1"/>
    <xf numFmtId="0" fontId="3" fillId="4" borderId="0" xfId="0" applyFont="1" applyFill="1"/>
    <xf numFmtId="0" fontId="0" fillId="0" borderId="0" xfId="0" applyAlignment="1">
      <alignment horizontal="right"/>
    </xf>
    <xf numFmtId="1" fontId="0" fillId="6" borderId="0" xfId="0" applyNumberFormat="1" applyFill="1" applyAlignment="1">
      <alignment horizontal="right"/>
    </xf>
    <xf numFmtId="1" fontId="0" fillId="6" borderId="0" xfId="0" applyNumberFormat="1" applyFill="1"/>
    <xf numFmtId="2" fontId="0" fillId="6" borderId="0" xfId="0" applyNumberFormat="1" applyFill="1" applyAlignment="1">
      <alignment horizontal="right"/>
    </xf>
    <xf numFmtId="164" fontId="0" fillId="6" borderId="0" xfId="0" applyNumberFormat="1" applyFill="1"/>
    <xf numFmtId="0" fontId="0" fillId="4" borderId="0" xfId="0" applyFill="1" applyAlignment="1">
      <alignment horizontal="left"/>
    </xf>
    <xf numFmtId="164" fontId="0" fillId="4" borderId="0" xfId="0" applyNumberFormat="1" applyFill="1"/>
    <xf numFmtId="0" fontId="5" fillId="5" borderId="0" xfId="0" applyFont="1" applyFill="1" applyAlignment="1">
      <alignment horizontal="center"/>
    </xf>
    <xf numFmtId="0" fontId="5" fillId="5" borderId="0" xfId="0" applyFont="1" applyFill="1"/>
    <xf numFmtId="0" fontId="0" fillId="7" borderId="0" xfId="0" applyFill="1"/>
    <xf numFmtId="0" fontId="0" fillId="7" borderId="0" xfId="0" applyFill="1" applyAlignment="1">
      <alignment horizontal="center"/>
    </xf>
    <xf numFmtId="0" fontId="0" fillId="8" borderId="0" xfId="0" applyFill="1"/>
    <xf numFmtId="0" fontId="0" fillId="9" borderId="0" xfId="0" applyFill="1"/>
    <xf numFmtId="0" fontId="0" fillId="10" borderId="0" xfId="0" applyFill="1"/>
    <xf numFmtId="165" fontId="0" fillId="8" borderId="0" xfId="0" applyNumberFormat="1" applyFill="1"/>
    <xf numFmtId="2" fontId="0" fillId="7" borderId="0" xfId="0" applyNumberFormat="1" applyFill="1"/>
    <xf numFmtId="0" fontId="0" fillId="11" borderId="0" xfId="0" applyFill="1"/>
    <xf numFmtId="164" fontId="0" fillId="7" borderId="0" xfId="0" applyNumberFormat="1" applyFill="1"/>
    <xf numFmtId="166" fontId="0" fillId="6" borderId="0" xfId="0" applyNumberFormat="1" applyFill="1"/>
    <xf numFmtId="11" fontId="0" fillId="7" borderId="0" xfId="0" applyNumberFormat="1" applyFill="1"/>
    <xf numFmtId="164" fontId="0" fillId="9" borderId="0" xfId="0" applyNumberFormat="1" applyFill="1"/>
    <xf numFmtId="2" fontId="0" fillId="9" borderId="0" xfId="0" applyNumberFormat="1" applyFill="1"/>
    <xf numFmtId="9" fontId="0" fillId="9" borderId="0" xfId="0" applyNumberFormat="1" applyFill="1"/>
    <xf numFmtId="9" fontId="0" fillId="6" borderId="0" xfId="0" applyNumberFormat="1" applyFill="1"/>
    <xf numFmtId="164" fontId="0" fillId="3" borderId="0" xfId="0" applyNumberFormat="1" applyFill="1"/>
    <xf numFmtId="2" fontId="0" fillId="3" borderId="0" xfId="0" applyNumberFormat="1" applyFill="1"/>
    <xf numFmtId="2" fontId="0" fillId="10" borderId="0" xfId="0" applyNumberFormat="1" applyFill="1"/>
    <xf numFmtId="164" fontId="0" fillId="4" borderId="0" xfId="0" applyNumberFormat="1" applyFill="1" applyAlignment="1">
      <alignment horizontal="center"/>
    </xf>
    <xf numFmtId="0" fontId="0" fillId="12" borderId="0" xfId="0" applyFill="1"/>
    <xf numFmtId="0" fontId="0" fillId="4" borderId="1" xfId="0" applyFill="1" applyBorder="1"/>
    <xf numFmtId="0" fontId="0" fillId="4" borderId="2" xfId="0" applyFill="1" applyBorder="1"/>
    <xf numFmtId="0" fontId="7" fillId="4" borderId="2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0" fillId="4" borderId="4" xfId="0" applyFill="1" applyBorder="1"/>
    <xf numFmtId="0" fontId="0" fillId="4" borderId="5" xfId="0" applyFill="1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2" fontId="0" fillId="0" borderId="7" xfId="0" applyNumberFormat="1" applyBorder="1"/>
    <xf numFmtId="0" fontId="0" fillId="0" borderId="8" xfId="0" applyBorder="1"/>
    <xf numFmtId="2" fontId="0" fillId="4" borderId="0" xfId="0" applyNumberFormat="1" applyFill="1"/>
    <xf numFmtId="164" fontId="0" fillId="0" borderId="0" xfId="0" applyNumberFormat="1"/>
    <xf numFmtId="11" fontId="0" fillId="7" borderId="0" xfId="0" applyNumberFormat="1" applyFill="1" applyAlignment="1">
      <alignment horizontal="center"/>
    </xf>
    <xf numFmtId="0" fontId="0" fillId="0" borderId="0" xfId="0" applyAlignment="1">
      <alignment vertical="center" wrapText="1"/>
    </xf>
    <xf numFmtId="2" fontId="0" fillId="6" borderId="0" xfId="0" applyNumberFormat="1" applyFill="1" applyAlignment="1">
      <alignment horizontal="center"/>
    </xf>
    <xf numFmtId="0" fontId="1" fillId="7" borderId="0" xfId="0" applyFont="1" applyFill="1"/>
    <xf numFmtId="0" fontId="0" fillId="7" borderId="4" xfId="0" applyFill="1" applyBorder="1"/>
    <xf numFmtId="0" fontId="0" fillId="4" borderId="4" xfId="0" applyFill="1" applyBorder="1" applyAlignment="1">
      <alignment horizontal="center"/>
    </xf>
    <xf numFmtId="0" fontId="0" fillId="6" borderId="4" xfId="0" applyFill="1" applyBorder="1"/>
    <xf numFmtId="2" fontId="0" fillId="7" borderId="4" xfId="0" applyNumberFormat="1" applyFill="1" applyBorder="1"/>
    <xf numFmtId="164" fontId="0" fillId="6" borderId="4" xfId="0" applyNumberFormat="1" applyFill="1" applyBorder="1"/>
    <xf numFmtId="11" fontId="0" fillId="7" borderId="4" xfId="0" applyNumberFormat="1" applyFill="1" applyBorder="1"/>
    <xf numFmtId="164" fontId="0" fillId="7" borderId="4" xfId="0" applyNumberFormat="1" applyFill="1" applyBorder="1"/>
    <xf numFmtId="1" fontId="0" fillId="7" borderId="4" xfId="0" applyNumberFormat="1" applyFill="1" applyBorder="1"/>
    <xf numFmtId="166" fontId="0" fillId="3" borderId="0" xfId="0" applyNumberFormat="1" applyFill="1"/>
    <xf numFmtId="0" fontId="9" fillId="7" borderId="0" xfId="0" applyFont="1" applyFill="1"/>
    <xf numFmtId="164" fontId="0" fillId="2" borderId="0" xfId="0" applyNumberFormat="1" applyFill="1"/>
    <xf numFmtId="2" fontId="0" fillId="2" borderId="0" xfId="0" applyNumberFormat="1" applyFill="1"/>
    <xf numFmtId="9" fontId="0" fillId="6" borderId="0" xfId="0" applyNumberFormat="1" applyFill="1" applyAlignment="1">
      <alignment horizontal="center"/>
    </xf>
    <xf numFmtId="2" fontId="0" fillId="3" borderId="0" xfId="0" applyNumberFormat="1" applyFill="1" applyAlignment="1">
      <alignment horizontal="right"/>
    </xf>
    <xf numFmtId="167" fontId="0" fillId="6" borderId="4" xfId="0" applyNumberFormat="1" applyFill="1" applyBorder="1"/>
    <xf numFmtId="167" fontId="0" fillId="6" borderId="0" xfId="0" applyNumberFormat="1" applyFill="1"/>
    <xf numFmtId="165" fontId="0" fillId="6" borderId="0" xfId="0" applyNumberFormat="1" applyFill="1"/>
    <xf numFmtId="0" fontId="0" fillId="4" borderId="0" xfId="0" applyFill="1" applyAlignment="1">
      <alignment horizontal="right"/>
    </xf>
    <xf numFmtId="0" fontId="1" fillId="0" borderId="0" xfId="0" applyFont="1"/>
    <xf numFmtId="0" fontId="1" fillId="8" borderId="0" xfId="0" applyFont="1" applyFill="1"/>
    <xf numFmtId="0" fontId="0" fillId="8" borderId="0" xfId="0" applyFill="1" applyAlignment="1">
      <alignment horizontal="center"/>
    </xf>
    <xf numFmtId="0" fontId="1" fillId="0" borderId="0" xfId="0" applyFont="1" applyAlignment="1">
      <alignment horizontal="right"/>
    </xf>
    <xf numFmtId="0" fontId="0" fillId="0" borderId="9" xfId="0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0" fillId="4" borderId="0" xfId="0" applyFont="1" applyFill="1"/>
    <xf numFmtId="0" fontId="1" fillId="4" borderId="4" xfId="0" applyFont="1" applyFill="1" applyBorder="1"/>
    <xf numFmtId="0" fontId="0" fillId="4" borderId="5" xfId="0" applyFill="1" applyBorder="1"/>
    <xf numFmtId="0" fontId="0" fillId="0" borderId="10" xfId="0" applyBorder="1"/>
    <xf numFmtId="1" fontId="0" fillId="0" borderId="0" xfId="0" applyNumberForma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43516782761411"/>
          <c:y val="2.2564961213179364E-2"/>
          <c:w val="0.70364918996783554"/>
          <c:h val="0.8461651656369249"/>
        </c:manualLayout>
      </c:layout>
      <c:scatterChart>
        <c:scatterStyle val="smoothMarker"/>
        <c:varyColors val="0"/>
        <c:ser>
          <c:idx val="4"/>
          <c:order val="0"/>
          <c:tx>
            <c:strRef>
              <c:f>Kühlsegel!$M$34</c:f>
              <c:strCache>
                <c:ptCount val="1"/>
                <c:pt idx="0">
                  <c:v>ϑ_i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Kühlsegel!$I$36:$I$37</c:f>
              <c:numCache>
                <c:formatCode>0.00</c:formatCode>
                <c:ptCount val="2"/>
                <c:pt idx="0">
                  <c:v>0</c:v>
                </c:pt>
                <c:pt idx="1">
                  <c:v>0.14416666666666664</c:v>
                </c:pt>
              </c:numCache>
            </c:numRef>
          </c:xVal>
          <c:yVal>
            <c:numRef>
              <c:f>Kühlsegel!$M$36:$M$37</c:f>
              <c:numCache>
                <c:formatCode>0.00</c:formatCode>
                <c:ptCount val="2"/>
                <c:pt idx="0">
                  <c:v>26</c:v>
                </c:pt>
                <c:pt idx="1">
                  <c:v>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BD7-4107-BCD0-D2CB7561E28A}"/>
            </c:ext>
          </c:extLst>
        </c:ser>
        <c:ser>
          <c:idx val="0"/>
          <c:order val="1"/>
          <c:tx>
            <c:strRef>
              <c:f>Kühlsegel!$J$3</c:f>
              <c:strCache>
                <c:ptCount val="1"/>
                <c:pt idx="0">
                  <c:v>ϑ(x)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Kühlsegel!$I$5:$I$26</c:f>
              <c:numCache>
                <c:formatCode>0.000</c:formatCode>
                <c:ptCount val="22"/>
                <c:pt idx="0">
                  <c:v>0</c:v>
                </c:pt>
                <c:pt idx="1">
                  <c:v>6.7083333333333326E-3</c:v>
                </c:pt>
                <c:pt idx="2">
                  <c:v>1.3416666666666665E-2</c:v>
                </c:pt>
                <c:pt idx="3">
                  <c:v>2.0124999999999997E-2</c:v>
                </c:pt>
                <c:pt idx="4">
                  <c:v>2.6833333333333331E-2</c:v>
                </c:pt>
                <c:pt idx="5">
                  <c:v>3.3541666666666664E-2</c:v>
                </c:pt>
                <c:pt idx="6">
                  <c:v>4.0249999999999994E-2</c:v>
                </c:pt>
                <c:pt idx="7">
                  <c:v>4.6958333333333324E-2</c:v>
                </c:pt>
                <c:pt idx="8">
                  <c:v>5.3666666666666654E-2</c:v>
                </c:pt>
                <c:pt idx="9">
                  <c:v>6.0374999999999984E-2</c:v>
                </c:pt>
                <c:pt idx="10">
                  <c:v>6.7083333333333314E-2</c:v>
                </c:pt>
                <c:pt idx="11">
                  <c:v>7.7083333333333309E-2</c:v>
                </c:pt>
                <c:pt idx="12">
                  <c:v>8.3791666666666639E-2</c:v>
                </c:pt>
                <c:pt idx="13">
                  <c:v>9.0499999999999969E-2</c:v>
                </c:pt>
                <c:pt idx="14">
                  <c:v>9.7208333333333299E-2</c:v>
                </c:pt>
                <c:pt idx="15">
                  <c:v>0.10391666666666663</c:v>
                </c:pt>
                <c:pt idx="16">
                  <c:v>0.11062499999999996</c:v>
                </c:pt>
                <c:pt idx="17">
                  <c:v>0.11733333333333329</c:v>
                </c:pt>
                <c:pt idx="18">
                  <c:v>0.12404166666666662</c:v>
                </c:pt>
                <c:pt idx="19">
                  <c:v>0.13074999999999995</c:v>
                </c:pt>
                <c:pt idx="20">
                  <c:v>0.13745833333333329</c:v>
                </c:pt>
                <c:pt idx="21">
                  <c:v>0.14416666666666664</c:v>
                </c:pt>
              </c:numCache>
            </c:numRef>
          </c:xVal>
          <c:yVal>
            <c:numRef>
              <c:f>Kühlsegel!$J$5:$J$26</c:f>
              <c:numCache>
                <c:formatCode>0.00</c:formatCode>
                <c:ptCount val="22"/>
                <c:pt idx="0">
                  <c:v>19.673320461241552</c:v>
                </c:pt>
                <c:pt idx="1">
                  <c:v>19.667386686294993</c:v>
                </c:pt>
                <c:pt idx="2">
                  <c:v>19.649585361455316</c:v>
                </c:pt>
                <c:pt idx="3">
                  <c:v>19.619916486722524</c:v>
                </c:pt>
                <c:pt idx="4">
                  <c:v>19.578380062096613</c:v>
                </c:pt>
                <c:pt idx="5">
                  <c:v>19.524976087577581</c:v>
                </c:pt>
                <c:pt idx="6">
                  <c:v>19.459704563165438</c:v>
                </c:pt>
                <c:pt idx="7">
                  <c:v>19.382565488860173</c:v>
                </c:pt>
                <c:pt idx="8">
                  <c:v>19.29355886466179</c:v>
                </c:pt>
                <c:pt idx="9">
                  <c:v>19.192684690570292</c:v>
                </c:pt>
                <c:pt idx="10">
                  <c:v>19.079942966585676</c:v>
                </c:pt>
                <c:pt idx="11">
                  <c:v>19.079942966585676</c:v>
                </c:pt>
                <c:pt idx="12">
                  <c:v>19.192684690570292</c:v>
                </c:pt>
                <c:pt idx="13">
                  <c:v>19.29355886466179</c:v>
                </c:pt>
                <c:pt idx="14">
                  <c:v>19.382565488860173</c:v>
                </c:pt>
                <c:pt idx="15">
                  <c:v>19.459704563165438</c:v>
                </c:pt>
                <c:pt idx="16">
                  <c:v>19.524976087577581</c:v>
                </c:pt>
                <c:pt idx="17">
                  <c:v>19.578380062096613</c:v>
                </c:pt>
                <c:pt idx="18">
                  <c:v>19.619916486722524</c:v>
                </c:pt>
                <c:pt idx="19">
                  <c:v>19.649585361455316</c:v>
                </c:pt>
                <c:pt idx="20">
                  <c:v>19.667386686294993</c:v>
                </c:pt>
                <c:pt idx="21">
                  <c:v>19.673320461241552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BD7-4107-BCD0-D2CB7561E28A}"/>
            </c:ext>
          </c:extLst>
        </c:ser>
        <c:ser>
          <c:idx val="3"/>
          <c:order val="2"/>
          <c:tx>
            <c:strRef>
              <c:f>Kühlsegel!$L$34</c:f>
              <c:strCache>
                <c:ptCount val="1"/>
                <c:pt idx="0">
                  <c:v>ϑ_P</c:v>
                </c:pt>
              </c:strCache>
            </c:strRef>
          </c:tx>
          <c:spPr>
            <a:ln w="127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Kühlsegel!$I$36:$I$37</c:f>
              <c:numCache>
                <c:formatCode>0.00</c:formatCode>
                <c:ptCount val="2"/>
                <c:pt idx="0">
                  <c:v>0</c:v>
                </c:pt>
                <c:pt idx="1">
                  <c:v>0.14416666666666664</c:v>
                </c:pt>
              </c:numCache>
            </c:numRef>
          </c:xVal>
          <c:yVal>
            <c:numRef>
              <c:f>Kühlsegel!$L$36:$L$37</c:f>
              <c:numCache>
                <c:formatCode>0.00</c:formatCode>
                <c:ptCount val="2"/>
                <c:pt idx="0">
                  <c:v>19.448088541304735</c:v>
                </c:pt>
                <c:pt idx="1">
                  <c:v>19.448088541304735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BD7-4107-BCD0-D2CB7561E28A}"/>
            </c:ext>
          </c:extLst>
        </c:ser>
        <c:ser>
          <c:idx val="2"/>
          <c:order val="3"/>
          <c:tx>
            <c:strRef>
              <c:f>Kühlsegel!$K$34</c:f>
              <c:strCache>
                <c:ptCount val="1"/>
                <c:pt idx="0">
                  <c:v>ϑ_b</c:v>
                </c:pt>
              </c:strCache>
            </c:strRef>
          </c:tx>
          <c:spPr>
            <a:ln w="12700" cap="rnd">
              <a:solidFill>
                <a:schemeClr val="tx1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Kühlsegel!$I$36:$I$37</c:f>
              <c:numCache>
                <c:formatCode>0.00</c:formatCode>
                <c:ptCount val="2"/>
                <c:pt idx="0">
                  <c:v>0</c:v>
                </c:pt>
                <c:pt idx="1">
                  <c:v>0.14416666666666664</c:v>
                </c:pt>
              </c:numCache>
            </c:numRef>
          </c:xVal>
          <c:yVal>
            <c:numRef>
              <c:f>Kühlsegel!$K$36:$K$37</c:f>
              <c:numCache>
                <c:formatCode>0.00</c:formatCode>
                <c:ptCount val="2"/>
                <c:pt idx="0">
                  <c:v>18.429942966585678</c:v>
                </c:pt>
                <c:pt idx="1">
                  <c:v>18.429942966585678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BD7-4107-BCD0-D2CB7561E28A}"/>
            </c:ext>
          </c:extLst>
        </c:ser>
        <c:ser>
          <c:idx val="1"/>
          <c:order val="4"/>
          <c:tx>
            <c:strRef>
              <c:f>Kühlsegel!$J$34</c:f>
              <c:strCache>
                <c:ptCount val="1"/>
                <c:pt idx="0">
                  <c:v>ϑ_m</c:v>
                </c:pt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Kühlsegel!$I$36:$I$37</c:f>
              <c:numCache>
                <c:formatCode>0.00</c:formatCode>
                <c:ptCount val="2"/>
                <c:pt idx="0">
                  <c:v>0</c:v>
                </c:pt>
                <c:pt idx="1">
                  <c:v>0.14416666666666664</c:v>
                </c:pt>
              </c:numCache>
            </c:numRef>
          </c:xVal>
          <c:yVal>
            <c:numRef>
              <c:f>Kühlsegel!$J$36:$J$37</c:f>
              <c:numCache>
                <c:formatCode>0.00</c:formatCode>
                <c:ptCount val="2"/>
                <c:pt idx="0">
                  <c:v>18</c:v>
                </c:pt>
                <c:pt idx="1">
                  <c:v>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BD7-4107-BCD0-D2CB7561E2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8945632"/>
        <c:axId val="1098944384"/>
      </c:scatterChart>
      <c:valAx>
        <c:axId val="1098945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Position x   m</a:t>
                </a:r>
              </a:p>
            </c:rich>
          </c:tx>
          <c:layout>
            <c:manualLayout>
              <c:xMode val="edge"/>
              <c:yMode val="edge"/>
              <c:x val="0.39152218955344636"/>
              <c:y val="0.9347037148248975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098944384"/>
        <c:crosses val="autoZero"/>
        <c:crossBetween val="midCat"/>
      </c:valAx>
      <c:valAx>
        <c:axId val="1098944384"/>
        <c:scaling>
          <c:orientation val="minMax"/>
          <c:min val="1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Temperatur °C</a:t>
                </a:r>
              </a:p>
            </c:rich>
          </c:tx>
          <c:layout>
            <c:manualLayout>
              <c:xMode val="edge"/>
              <c:yMode val="edge"/>
              <c:x val="1.28500951252408E-3"/>
              <c:y val="0.300898519873872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0989456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60" b="0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/>
              <a:t>Wärmeübergang Fluid - Rohrwand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60" b="0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190463425724605"/>
          <c:y val="0.12599206349206349"/>
          <c:w val="0.83929954985812683"/>
          <c:h val="0.74067460317460321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Kühlsegel!$S$41:$S$70</c:f>
              <c:numCache>
                <c:formatCode>General</c:formatCode>
                <c:ptCount val="30"/>
                <c:pt idx="0">
                  <c:v>100</c:v>
                </c:pt>
                <c:pt idx="1">
                  <c:v>500</c:v>
                </c:pt>
                <c:pt idx="2">
                  <c:v>1700</c:v>
                </c:pt>
                <c:pt idx="3">
                  <c:v>1900</c:v>
                </c:pt>
                <c:pt idx="4">
                  <c:v>2100</c:v>
                </c:pt>
                <c:pt idx="5">
                  <c:v>2300</c:v>
                </c:pt>
                <c:pt idx="6">
                  <c:v>2500</c:v>
                </c:pt>
                <c:pt idx="7">
                  <c:v>2700</c:v>
                </c:pt>
                <c:pt idx="8">
                  <c:v>2900</c:v>
                </c:pt>
                <c:pt idx="9">
                  <c:v>3100</c:v>
                </c:pt>
                <c:pt idx="10">
                  <c:v>3300</c:v>
                </c:pt>
                <c:pt idx="11">
                  <c:v>3500</c:v>
                </c:pt>
                <c:pt idx="12">
                  <c:v>3700</c:v>
                </c:pt>
                <c:pt idx="13">
                  <c:v>3900</c:v>
                </c:pt>
                <c:pt idx="14">
                  <c:v>4100</c:v>
                </c:pt>
                <c:pt idx="15">
                  <c:v>4500</c:v>
                </c:pt>
                <c:pt idx="16">
                  <c:v>5000</c:v>
                </c:pt>
                <c:pt idx="17">
                  <c:v>5500</c:v>
                </c:pt>
                <c:pt idx="18">
                  <c:v>6000</c:v>
                </c:pt>
                <c:pt idx="19">
                  <c:v>6500</c:v>
                </c:pt>
                <c:pt idx="20">
                  <c:v>7000</c:v>
                </c:pt>
                <c:pt idx="21">
                  <c:v>8000</c:v>
                </c:pt>
                <c:pt idx="22">
                  <c:v>10000</c:v>
                </c:pt>
                <c:pt idx="23">
                  <c:v>12000</c:v>
                </c:pt>
                <c:pt idx="24">
                  <c:v>14000</c:v>
                </c:pt>
                <c:pt idx="25">
                  <c:v>16000</c:v>
                </c:pt>
                <c:pt idx="26">
                  <c:v>18000</c:v>
                </c:pt>
                <c:pt idx="27">
                  <c:v>20000</c:v>
                </c:pt>
                <c:pt idx="28">
                  <c:v>50000</c:v>
                </c:pt>
                <c:pt idx="29">
                  <c:v>100000</c:v>
                </c:pt>
              </c:numCache>
            </c:numRef>
          </c:xVal>
          <c:yVal>
            <c:numRef>
              <c:f>Kühlsegel!$T$41:$T$70</c:f>
              <c:numCache>
                <c:formatCode>0.00</c:formatCode>
                <c:ptCount val="30"/>
                <c:pt idx="0">
                  <c:v>4.3600000000000003</c:v>
                </c:pt>
                <c:pt idx="1">
                  <c:v>4.3600000000000003</c:v>
                </c:pt>
                <c:pt idx="2">
                  <c:v>4.3600000000000003</c:v>
                </c:pt>
                <c:pt idx="3">
                  <c:v>4.3600000000000003</c:v>
                </c:pt>
                <c:pt idx="4">
                  <c:v>4.3600000000000003</c:v>
                </c:pt>
                <c:pt idx="5">
                  <c:v>4.3600000000000003</c:v>
                </c:pt>
                <c:pt idx="6">
                  <c:v>6.3879682136509004</c:v>
                </c:pt>
                <c:pt idx="7">
                  <c:v>8.4159364273018014</c:v>
                </c:pt>
                <c:pt idx="8">
                  <c:v>10.443904640952699</c:v>
                </c:pt>
                <c:pt idx="9">
                  <c:v>12.4718728546036</c:v>
                </c:pt>
                <c:pt idx="10">
                  <c:v>14.499841068254501</c:v>
                </c:pt>
                <c:pt idx="11">
                  <c:v>16.527809281905398</c:v>
                </c:pt>
                <c:pt idx="12">
                  <c:v>18.555777495556299</c:v>
                </c:pt>
                <c:pt idx="13">
                  <c:v>20.5837457092072</c:v>
                </c:pt>
                <c:pt idx="14">
                  <c:v>22.611713922858097</c:v>
                </c:pt>
                <c:pt idx="15">
                  <c:v>26.667650350159899</c:v>
                </c:pt>
                <c:pt idx="16">
                  <c:v>31.737570884287148</c:v>
                </c:pt>
                <c:pt idx="17">
                  <c:v>36.807491418414401</c:v>
                </c:pt>
                <c:pt idx="18">
                  <c:v>41.877411952541649</c:v>
                </c:pt>
                <c:pt idx="19">
                  <c:v>46.947332486668898</c:v>
                </c:pt>
                <c:pt idx="20">
                  <c:v>52.017253020796147</c:v>
                </c:pt>
                <c:pt idx="21">
                  <c:v>62.157094089050645</c:v>
                </c:pt>
                <c:pt idx="22">
                  <c:v>82.43677622555964</c:v>
                </c:pt>
                <c:pt idx="23">
                  <c:v>95.381906028991935</c:v>
                </c:pt>
                <c:pt idx="24">
                  <c:v>107.90049286643112</c:v>
                </c:pt>
                <c:pt idx="25">
                  <c:v>120.06515504730027</c:v>
                </c:pt>
                <c:pt idx="26">
                  <c:v>131.92861524231023</c:v>
                </c:pt>
                <c:pt idx="27">
                  <c:v>143.53076395895499</c:v>
                </c:pt>
                <c:pt idx="28">
                  <c:v>298.74249473717288</c:v>
                </c:pt>
                <c:pt idx="29">
                  <c:v>520.14089414787054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69-4604-81F0-54E860F997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16352607"/>
        <c:axId val="1216353023"/>
      </c:scatterChart>
      <c:valAx>
        <c:axId val="1216352607"/>
        <c:scaling>
          <c:logBase val="10"/>
          <c:orientation val="minMax"/>
          <c:min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Re -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16353023"/>
        <c:crosses val="autoZero"/>
        <c:crossBetween val="midCat"/>
      </c:valAx>
      <c:valAx>
        <c:axId val="1216353023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Nu -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163526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43516782761411"/>
          <c:y val="2.2564961213179364E-2"/>
          <c:w val="0.73640714285714282"/>
          <c:h val="0.8461651656369249"/>
        </c:manualLayout>
      </c:layout>
      <c:scatterChart>
        <c:scatterStyle val="smoothMarker"/>
        <c:varyColors val="0"/>
        <c:ser>
          <c:idx val="4"/>
          <c:order val="0"/>
          <c:tx>
            <c:strRef>
              <c:f>Prototyp!$Q$34</c:f>
              <c:strCache>
                <c:ptCount val="1"/>
                <c:pt idx="0">
                  <c:v>ϑ_i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Prototyp!$M$36:$M$37</c:f>
              <c:numCache>
                <c:formatCode>0.00</c:formatCode>
                <c:ptCount val="2"/>
                <c:pt idx="0">
                  <c:v>0</c:v>
                </c:pt>
                <c:pt idx="1">
                  <c:v>0.14416666666666664</c:v>
                </c:pt>
              </c:numCache>
            </c:numRef>
          </c:xVal>
          <c:yVal>
            <c:numRef>
              <c:f>Prototyp!$Q$36:$Q$37</c:f>
              <c:numCache>
                <c:formatCode>0.00</c:formatCode>
                <c:ptCount val="2"/>
                <c:pt idx="0">
                  <c:v>26</c:v>
                </c:pt>
                <c:pt idx="1">
                  <c:v>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31B-43DA-BBA8-25694BB6148C}"/>
            </c:ext>
          </c:extLst>
        </c:ser>
        <c:ser>
          <c:idx val="0"/>
          <c:order val="1"/>
          <c:tx>
            <c:strRef>
              <c:f>Prototyp!$N$3</c:f>
              <c:strCache>
                <c:ptCount val="1"/>
                <c:pt idx="0">
                  <c:v>ϑ(x)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Prototyp!$M$5:$M$26</c:f>
              <c:numCache>
                <c:formatCode>0.000</c:formatCode>
                <c:ptCount val="22"/>
                <c:pt idx="0">
                  <c:v>0</c:v>
                </c:pt>
                <c:pt idx="1">
                  <c:v>6.7083333333333326E-3</c:v>
                </c:pt>
                <c:pt idx="2">
                  <c:v>1.3416666666666665E-2</c:v>
                </c:pt>
                <c:pt idx="3">
                  <c:v>2.0124999999999997E-2</c:v>
                </c:pt>
                <c:pt idx="4">
                  <c:v>2.6833333333333331E-2</c:v>
                </c:pt>
                <c:pt idx="5">
                  <c:v>3.3541666666666664E-2</c:v>
                </c:pt>
                <c:pt idx="6">
                  <c:v>4.0249999999999994E-2</c:v>
                </c:pt>
                <c:pt idx="7">
                  <c:v>4.6958333333333324E-2</c:v>
                </c:pt>
                <c:pt idx="8">
                  <c:v>5.3666666666666654E-2</c:v>
                </c:pt>
                <c:pt idx="9">
                  <c:v>6.0374999999999984E-2</c:v>
                </c:pt>
                <c:pt idx="10">
                  <c:v>6.7083333333333314E-2</c:v>
                </c:pt>
                <c:pt idx="11">
                  <c:v>7.7083333333333309E-2</c:v>
                </c:pt>
                <c:pt idx="12">
                  <c:v>8.3791666666666639E-2</c:v>
                </c:pt>
                <c:pt idx="13">
                  <c:v>9.0499999999999969E-2</c:v>
                </c:pt>
                <c:pt idx="14">
                  <c:v>9.7208333333333299E-2</c:v>
                </c:pt>
                <c:pt idx="15">
                  <c:v>0.10391666666666663</c:v>
                </c:pt>
                <c:pt idx="16">
                  <c:v>0.11062499999999996</c:v>
                </c:pt>
                <c:pt idx="17">
                  <c:v>0.11733333333333329</c:v>
                </c:pt>
                <c:pt idx="18">
                  <c:v>0.12404166666666662</c:v>
                </c:pt>
                <c:pt idx="19">
                  <c:v>0.13074999999999995</c:v>
                </c:pt>
                <c:pt idx="20">
                  <c:v>0.13745833333333329</c:v>
                </c:pt>
                <c:pt idx="21">
                  <c:v>0.14416666666666664</c:v>
                </c:pt>
              </c:numCache>
            </c:numRef>
          </c:xVal>
          <c:yVal>
            <c:numRef>
              <c:f>Prototyp!$N$5:$N$26</c:f>
              <c:numCache>
                <c:formatCode>0.00</c:formatCode>
                <c:ptCount val="22"/>
                <c:pt idx="0">
                  <c:v>19.626784227691658</c:v>
                </c:pt>
                <c:pt idx="1">
                  <c:v>19.621740891826899</c:v>
                </c:pt>
                <c:pt idx="2">
                  <c:v>19.606610884232619</c:v>
                </c:pt>
                <c:pt idx="3">
                  <c:v>19.581394204908818</c:v>
                </c:pt>
                <c:pt idx="4">
                  <c:v>19.546090853855496</c:v>
                </c:pt>
                <c:pt idx="5">
                  <c:v>19.500700831072656</c:v>
                </c:pt>
                <c:pt idx="6">
                  <c:v>19.445224136560295</c:v>
                </c:pt>
                <c:pt idx="7">
                  <c:v>19.379660770318413</c:v>
                </c:pt>
                <c:pt idx="8">
                  <c:v>19.30401073234701</c:v>
                </c:pt>
                <c:pt idx="9">
                  <c:v>19.218274022646089</c:v>
                </c:pt>
                <c:pt idx="10">
                  <c:v>19.122450641215647</c:v>
                </c:pt>
                <c:pt idx="11">
                  <c:v>19.122450641215647</c:v>
                </c:pt>
                <c:pt idx="12">
                  <c:v>19.218274022646089</c:v>
                </c:pt>
                <c:pt idx="13">
                  <c:v>19.30401073234701</c:v>
                </c:pt>
                <c:pt idx="14">
                  <c:v>19.379660770318413</c:v>
                </c:pt>
                <c:pt idx="15">
                  <c:v>19.445224136560295</c:v>
                </c:pt>
                <c:pt idx="16">
                  <c:v>19.500700831072656</c:v>
                </c:pt>
                <c:pt idx="17">
                  <c:v>19.546090853855496</c:v>
                </c:pt>
                <c:pt idx="18">
                  <c:v>19.581394204908818</c:v>
                </c:pt>
                <c:pt idx="19">
                  <c:v>19.606610884232619</c:v>
                </c:pt>
                <c:pt idx="20">
                  <c:v>19.621740891826899</c:v>
                </c:pt>
                <c:pt idx="21">
                  <c:v>19.626784227691658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31B-43DA-BBA8-25694BB6148C}"/>
            </c:ext>
          </c:extLst>
        </c:ser>
        <c:ser>
          <c:idx val="3"/>
          <c:order val="2"/>
          <c:tx>
            <c:strRef>
              <c:f>Prototyp!$P$34</c:f>
              <c:strCache>
                <c:ptCount val="1"/>
                <c:pt idx="0">
                  <c:v>ϑ_P</c:v>
                </c:pt>
              </c:strCache>
            </c:strRef>
          </c:tx>
          <c:spPr>
            <a:ln w="127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Prototyp!$M$36:$M$37</c:f>
              <c:numCache>
                <c:formatCode>0.00</c:formatCode>
                <c:ptCount val="2"/>
                <c:pt idx="0">
                  <c:v>0</c:v>
                </c:pt>
                <c:pt idx="1">
                  <c:v>0.14416666666666664</c:v>
                </c:pt>
              </c:numCache>
            </c:numRef>
          </c:xVal>
          <c:yVal>
            <c:numRef>
              <c:f>Prototyp!$P$36:$P$37</c:f>
              <c:numCache>
                <c:formatCode>0.00</c:formatCode>
                <c:ptCount val="2"/>
                <c:pt idx="0">
                  <c:v>19.435351247853944</c:v>
                </c:pt>
                <c:pt idx="1">
                  <c:v>19.435351247853944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31B-43DA-BBA8-25694BB6148C}"/>
            </c:ext>
          </c:extLst>
        </c:ser>
        <c:ser>
          <c:idx val="2"/>
          <c:order val="3"/>
          <c:tx>
            <c:strRef>
              <c:f>Prototyp!$O$34</c:f>
              <c:strCache>
                <c:ptCount val="1"/>
                <c:pt idx="0">
                  <c:v>ϑ_b</c:v>
                </c:pt>
              </c:strCache>
            </c:strRef>
          </c:tx>
          <c:spPr>
            <a:ln w="12700" cap="rnd">
              <a:solidFill>
                <a:schemeClr val="tx1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Prototyp!$M$36:$M$37</c:f>
              <c:numCache>
                <c:formatCode>0.00</c:formatCode>
                <c:ptCount val="2"/>
                <c:pt idx="0">
                  <c:v>0</c:v>
                </c:pt>
                <c:pt idx="1">
                  <c:v>0.14416666666666664</c:v>
                </c:pt>
              </c:numCache>
            </c:numRef>
          </c:xVal>
          <c:yVal>
            <c:numRef>
              <c:f>Prototyp!$O$36:$O$37</c:f>
              <c:numCache>
                <c:formatCode>0.00</c:formatCode>
                <c:ptCount val="2"/>
                <c:pt idx="0">
                  <c:v>18.472450641215648</c:v>
                </c:pt>
                <c:pt idx="1">
                  <c:v>18.472450641215648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31B-43DA-BBA8-25694BB6148C}"/>
            </c:ext>
          </c:extLst>
        </c:ser>
        <c:ser>
          <c:idx val="1"/>
          <c:order val="4"/>
          <c:tx>
            <c:strRef>
              <c:f>Prototyp!$N$34</c:f>
              <c:strCache>
                <c:ptCount val="1"/>
                <c:pt idx="0">
                  <c:v>ϑ_m</c:v>
                </c:pt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Prototyp!$M$36:$M$37</c:f>
              <c:numCache>
                <c:formatCode>0.00</c:formatCode>
                <c:ptCount val="2"/>
                <c:pt idx="0">
                  <c:v>0</c:v>
                </c:pt>
                <c:pt idx="1">
                  <c:v>0.14416666666666664</c:v>
                </c:pt>
              </c:numCache>
            </c:numRef>
          </c:xVal>
          <c:yVal>
            <c:numRef>
              <c:f>Prototyp!$N$36:$N$37</c:f>
              <c:numCache>
                <c:formatCode>0.00</c:formatCode>
                <c:ptCount val="2"/>
                <c:pt idx="0">
                  <c:v>18</c:v>
                </c:pt>
                <c:pt idx="1">
                  <c:v>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31B-43DA-BBA8-25694BB614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8945632"/>
        <c:axId val="1098944384"/>
      </c:scatterChart>
      <c:valAx>
        <c:axId val="1098945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Position x   m</a:t>
                </a:r>
              </a:p>
            </c:rich>
          </c:tx>
          <c:layout>
            <c:manualLayout>
              <c:xMode val="edge"/>
              <c:yMode val="edge"/>
              <c:x val="0.39152218955344636"/>
              <c:y val="0.9347037148248975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098944384"/>
        <c:crosses val="autoZero"/>
        <c:crossBetween val="midCat"/>
      </c:valAx>
      <c:valAx>
        <c:axId val="1098944384"/>
        <c:scaling>
          <c:orientation val="minMax"/>
          <c:min val="1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Temperatur °C</a:t>
                </a:r>
              </a:p>
            </c:rich>
          </c:tx>
          <c:layout>
            <c:manualLayout>
              <c:xMode val="edge"/>
              <c:yMode val="edge"/>
              <c:x val="1.28500951252408E-3"/>
              <c:y val="0.300898519873872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0989456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11739312894585"/>
          <c:y val="2.2564961213179364E-2"/>
          <c:w val="0.67698218825398182"/>
          <c:h val="0.8461651656369249"/>
        </c:manualLayout>
      </c:layout>
      <c:scatterChart>
        <c:scatterStyle val="smoothMarker"/>
        <c:varyColors val="0"/>
        <c:ser>
          <c:idx val="4"/>
          <c:order val="0"/>
          <c:tx>
            <c:strRef>
              <c:f>Prototyp!$Q$34</c:f>
              <c:strCache>
                <c:ptCount val="1"/>
                <c:pt idx="0">
                  <c:v>ϑ_i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Prototyp!$M$36:$M$37</c:f>
              <c:numCache>
                <c:formatCode>0.00</c:formatCode>
                <c:ptCount val="2"/>
                <c:pt idx="0">
                  <c:v>0</c:v>
                </c:pt>
                <c:pt idx="1">
                  <c:v>0.14416666666666664</c:v>
                </c:pt>
              </c:numCache>
            </c:numRef>
          </c:xVal>
          <c:yVal>
            <c:numRef>
              <c:f>Prototyp!$Q$36:$Q$37</c:f>
              <c:numCache>
                <c:formatCode>0.00</c:formatCode>
                <c:ptCount val="2"/>
                <c:pt idx="0">
                  <c:v>26</c:v>
                </c:pt>
                <c:pt idx="1">
                  <c:v>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B0-4CC4-BF75-C5C6B60A02CA}"/>
            </c:ext>
          </c:extLst>
        </c:ser>
        <c:ser>
          <c:idx val="0"/>
          <c:order val="1"/>
          <c:tx>
            <c:strRef>
              <c:f>Prototyp!$N$3</c:f>
              <c:strCache>
                <c:ptCount val="1"/>
                <c:pt idx="0">
                  <c:v>ϑ(x)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Prototyp!$M$5:$M$26</c:f>
              <c:numCache>
                <c:formatCode>0.000</c:formatCode>
                <c:ptCount val="22"/>
                <c:pt idx="0">
                  <c:v>0</c:v>
                </c:pt>
                <c:pt idx="1">
                  <c:v>6.7083333333333326E-3</c:v>
                </c:pt>
                <c:pt idx="2">
                  <c:v>1.3416666666666665E-2</c:v>
                </c:pt>
                <c:pt idx="3">
                  <c:v>2.0124999999999997E-2</c:v>
                </c:pt>
                <c:pt idx="4">
                  <c:v>2.6833333333333331E-2</c:v>
                </c:pt>
                <c:pt idx="5">
                  <c:v>3.3541666666666664E-2</c:v>
                </c:pt>
                <c:pt idx="6">
                  <c:v>4.0249999999999994E-2</c:v>
                </c:pt>
                <c:pt idx="7">
                  <c:v>4.6958333333333324E-2</c:v>
                </c:pt>
                <c:pt idx="8">
                  <c:v>5.3666666666666654E-2</c:v>
                </c:pt>
                <c:pt idx="9">
                  <c:v>6.0374999999999984E-2</c:v>
                </c:pt>
                <c:pt idx="10">
                  <c:v>6.7083333333333314E-2</c:v>
                </c:pt>
                <c:pt idx="11">
                  <c:v>7.7083333333333309E-2</c:v>
                </c:pt>
                <c:pt idx="12">
                  <c:v>8.3791666666666639E-2</c:v>
                </c:pt>
                <c:pt idx="13">
                  <c:v>9.0499999999999969E-2</c:v>
                </c:pt>
                <c:pt idx="14">
                  <c:v>9.7208333333333299E-2</c:v>
                </c:pt>
                <c:pt idx="15">
                  <c:v>0.10391666666666663</c:v>
                </c:pt>
                <c:pt idx="16">
                  <c:v>0.11062499999999996</c:v>
                </c:pt>
                <c:pt idx="17">
                  <c:v>0.11733333333333329</c:v>
                </c:pt>
                <c:pt idx="18">
                  <c:v>0.12404166666666662</c:v>
                </c:pt>
                <c:pt idx="19">
                  <c:v>0.13074999999999995</c:v>
                </c:pt>
                <c:pt idx="20">
                  <c:v>0.13745833333333329</c:v>
                </c:pt>
                <c:pt idx="21">
                  <c:v>0.14416666666666664</c:v>
                </c:pt>
              </c:numCache>
            </c:numRef>
          </c:xVal>
          <c:yVal>
            <c:numRef>
              <c:f>Prototyp!$N$5:$N$26</c:f>
              <c:numCache>
                <c:formatCode>0.00</c:formatCode>
                <c:ptCount val="22"/>
                <c:pt idx="0">
                  <c:v>19.626784227691658</c:v>
                </c:pt>
                <c:pt idx="1">
                  <c:v>19.621740891826899</c:v>
                </c:pt>
                <c:pt idx="2">
                  <c:v>19.606610884232619</c:v>
                </c:pt>
                <c:pt idx="3">
                  <c:v>19.581394204908818</c:v>
                </c:pt>
                <c:pt idx="4">
                  <c:v>19.546090853855496</c:v>
                </c:pt>
                <c:pt idx="5">
                  <c:v>19.500700831072656</c:v>
                </c:pt>
                <c:pt idx="6">
                  <c:v>19.445224136560295</c:v>
                </c:pt>
                <c:pt idx="7">
                  <c:v>19.379660770318413</c:v>
                </c:pt>
                <c:pt idx="8">
                  <c:v>19.30401073234701</c:v>
                </c:pt>
                <c:pt idx="9">
                  <c:v>19.218274022646089</c:v>
                </c:pt>
                <c:pt idx="10">
                  <c:v>19.122450641215647</c:v>
                </c:pt>
                <c:pt idx="11">
                  <c:v>19.122450641215647</c:v>
                </c:pt>
                <c:pt idx="12">
                  <c:v>19.218274022646089</c:v>
                </c:pt>
                <c:pt idx="13">
                  <c:v>19.30401073234701</c:v>
                </c:pt>
                <c:pt idx="14">
                  <c:v>19.379660770318413</c:v>
                </c:pt>
                <c:pt idx="15">
                  <c:v>19.445224136560295</c:v>
                </c:pt>
                <c:pt idx="16">
                  <c:v>19.500700831072656</c:v>
                </c:pt>
                <c:pt idx="17">
                  <c:v>19.546090853855496</c:v>
                </c:pt>
                <c:pt idx="18">
                  <c:v>19.581394204908818</c:v>
                </c:pt>
                <c:pt idx="19">
                  <c:v>19.606610884232619</c:v>
                </c:pt>
                <c:pt idx="20">
                  <c:v>19.621740891826899</c:v>
                </c:pt>
                <c:pt idx="21">
                  <c:v>19.626784227691658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B0-4CC4-BF75-C5C6B60A02CA}"/>
            </c:ext>
          </c:extLst>
        </c:ser>
        <c:ser>
          <c:idx val="3"/>
          <c:order val="2"/>
          <c:tx>
            <c:strRef>
              <c:f>Prototyp!$P$34</c:f>
              <c:strCache>
                <c:ptCount val="1"/>
                <c:pt idx="0">
                  <c:v>ϑ_P</c:v>
                </c:pt>
              </c:strCache>
            </c:strRef>
          </c:tx>
          <c:spPr>
            <a:ln w="127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Prototyp!$M$36:$M$37</c:f>
              <c:numCache>
                <c:formatCode>0.00</c:formatCode>
                <c:ptCount val="2"/>
                <c:pt idx="0">
                  <c:v>0</c:v>
                </c:pt>
                <c:pt idx="1">
                  <c:v>0.14416666666666664</c:v>
                </c:pt>
              </c:numCache>
            </c:numRef>
          </c:xVal>
          <c:yVal>
            <c:numRef>
              <c:f>Prototyp!$P$36:$P$37</c:f>
              <c:numCache>
                <c:formatCode>0.00</c:formatCode>
                <c:ptCount val="2"/>
                <c:pt idx="0">
                  <c:v>19.435351247853944</c:v>
                </c:pt>
                <c:pt idx="1">
                  <c:v>19.435351247853944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B0-4CC4-BF75-C5C6B60A02CA}"/>
            </c:ext>
          </c:extLst>
        </c:ser>
        <c:ser>
          <c:idx val="2"/>
          <c:order val="3"/>
          <c:tx>
            <c:strRef>
              <c:f>Prototyp!$O$34</c:f>
              <c:strCache>
                <c:ptCount val="1"/>
                <c:pt idx="0">
                  <c:v>ϑ_b</c:v>
                </c:pt>
              </c:strCache>
            </c:strRef>
          </c:tx>
          <c:spPr>
            <a:ln w="12700" cap="rnd">
              <a:solidFill>
                <a:schemeClr val="tx1"/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Prototyp!$M$36:$M$37</c:f>
              <c:numCache>
                <c:formatCode>0.00</c:formatCode>
                <c:ptCount val="2"/>
                <c:pt idx="0">
                  <c:v>0</c:v>
                </c:pt>
                <c:pt idx="1">
                  <c:v>0.14416666666666664</c:v>
                </c:pt>
              </c:numCache>
            </c:numRef>
          </c:xVal>
          <c:yVal>
            <c:numRef>
              <c:f>Prototyp!$O$36:$O$37</c:f>
              <c:numCache>
                <c:formatCode>0.00</c:formatCode>
                <c:ptCount val="2"/>
                <c:pt idx="0">
                  <c:v>18.472450641215648</c:v>
                </c:pt>
                <c:pt idx="1">
                  <c:v>18.472450641215648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AB0-4CC4-BF75-C5C6B60A02CA}"/>
            </c:ext>
          </c:extLst>
        </c:ser>
        <c:ser>
          <c:idx val="1"/>
          <c:order val="4"/>
          <c:tx>
            <c:strRef>
              <c:f>Prototyp!$N$34</c:f>
              <c:strCache>
                <c:ptCount val="1"/>
                <c:pt idx="0">
                  <c:v>ϑ_m</c:v>
                </c:pt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Prototyp!$M$36:$M$37</c:f>
              <c:numCache>
                <c:formatCode>0.00</c:formatCode>
                <c:ptCount val="2"/>
                <c:pt idx="0">
                  <c:v>0</c:v>
                </c:pt>
                <c:pt idx="1">
                  <c:v>0.14416666666666664</c:v>
                </c:pt>
              </c:numCache>
            </c:numRef>
          </c:xVal>
          <c:yVal>
            <c:numRef>
              <c:f>Prototyp!$N$36:$N$37</c:f>
              <c:numCache>
                <c:formatCode>0.00</c:formatCode>
                <c:ptCount val="2"/>
                <c:pt idx="0">
                  <c:v>18</c:v>
                </c:pt>
                <c:pt idx="1">
                  <c:v>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AB0-4CC4-BF75-C5C6B60A02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8945632"/>
        <c:axId val="1098944384"/>
      </c:scatterChart>
      <c:valAx>
        <c:axId val="1098945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Position x   m</a:t>
                </a:r>
              </a:p>
            </c:rich>
          </c:tx>
          <c:layout>
            <c:manualLayout>
              <c:xMode val="edge"/>
              <c:yMode val="edge"/>
              <c:x val="0.39152218955344636"/>
              <c:y val="0.9347037148248975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098944384"/>
        <c:crosses val="autoZero"/>
        <c:crossBetween val="midCat"/>
      </c:valAx>
      <c:valAx>
        <c:axId val="1098944384"/>
        <c:scaling>
          <c:orientation val="minMax"/>
          <c:min val="17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Temperatur °C</a:t>
                </a:r>
              </a:p>
            </c:rich>
          </c:tx>
          <c:layout>
            <c:manualLayout>
              <c:xMode val="edge"/>
              <c:yMode val="edge"/>
              <c:x val="1.28500951252408E-3"/>
              <c:y val="0.3008985198738723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0989456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0139466087294242"/>
          <c:y val="0.30325348474280212"/>
          <c:w val="0.19860533912705763"/>
          <c:h val="0.4043884551995957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 b="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2554977330025E-2"/>
          <c:y val="2.8137856104809657E-2"/>
          <c:w val="0.57809067876992715"/>
          <c:h val="0.8176422188781894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'Konvektion+Strahlung'!$A$9</c:f>
              <c:strCache>
                <c:ptCount val="1"/>
                <c:pt idx="0">
                  <c:v>Gesamtleistung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6350" cap="rnd">
                <a:solidFill>
                  <a:schemeClr val="tx1"/>
                </a:solidFill>
                <a:prstDash val="solid"/>
              </a:ln>
              <a:effectLst/>
            </c:spPr>
            <c:trendlineType val="power"/>
            <c:dispRSqr val="0"/>
            <c:dispEq val="0"/>
          </c:trendline>
          <c:xVal>
            <c:numRef>
              <c:f>'Konvektion+Strahlung'!$C$8:$J$8</c:f>
              <c:numCache>
                <c:formatCode>General</c:formatCode>
                <c:ptCount val="8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</c:numCache>
            </c:numRef>
          </c:xVal>
          <c:yVal>
            <c:numRef>
              <c:f>'Konvektion+Strahlung'!$C$9:$J$9</c:f>
              <c:numCache>
                <c:formatCode>0.0</c:formatCode>
                <c:ptCount val="8"/>
                <c:pt idx="0">
                  <c:v>89.633041238631748</c:v>
                </c:pt>
                <c:pt idx="1">
                  <c:v>78.066704584744187</c:v>
                </c:pt>
                <c:pt idx="2">
                  <c:v>66.557697889908582</c:v>
                </c:pt>
                <c:pt idx="3">
                  <c:v>55.115298435016747</c:v>
                </c:pt>
                <c:pt idx="4">
                  <c:v>43.752481056162949</c:v>
                </c:pt>
                <c:pt idx="5">
                  <c:v>32.488738257995699</c:v>
                </c:pt>
                <c:pt idx="6">
                  <c:v>21.356852028187628</c:v>
                </c:pt>
                <c:pt idx="7">
                  <c:v>10.424897458235773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181-49CD-B49D-CDD21292BA76}"/>
            </c:ext>
          </c:extLst>
        </c:ser>
        <c:ser>
          <c:idx val="2"/>
          <c:order val="1"/>
          <c:tx>
            <c:strRef>
              <c:f>'Konvektion+Strahlung'!$A$30</c:f>
              <c:strCache>
                <c:ptCount val="1"/>
                <c:pt idx="0">
                  <c:v>Rad. Unten</c:v>
                </c:pt>
              </c:strCache>
            </c:strRef>
          </c:tx>
          <c:spPr>
            <a:ln w="12700" cap="rnd">
              <a:noFill/>
              <a:round/>
            </a:ln>
            <a:effectLst/>
          </c:spPr>
          <c:marker>
            <c:symbol val="triangl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6350" cap="rnd">
                <a:solidFill>
                  <a:srgbClr val="FFC000"/>
                </a:solidFill>
                <a:prstDash val="solid"/>
              </a:ln>
              <a:effectLst/>
            </c:spPr>
            <c:trendlineType val="power"/>
            <c:dispRSqr val="0"/>
            <c:dispEq val="0"/>
          </c:trendline>
          <c:xVal>
            <c:numRef>
              <c:f>'Konvektion+Strahlung'!$C$8:$J$8</c:f>
              <c:numCache>
                <c:formatCode>General</c:formatCode>
                <c:ptCount val="8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</c:numCache>
            </c:numRef>
          </c:xVal>
          <c:yVal>
            <c:numRef>
              <c:f>'Konvektion+Strahlung'!$C$30:$J$30</c:f>
              <c:numCache>
                <c:formatCode>0.00</c:formatCode>
                <c:ptCount val="8"/>
                <c:pt idx="0">
                  <c:v>37.18752380946259</c:v>
                </c:pt>
                <c:pt idx="1">
                  <c:v>32.724511880995237</c:v>
                </c:pt>
                <c:pt idx="2">
                  <c:v>28.212861726071878</c:v>
                </c:pt>
                <c:pt idx="3">
                  <c:v>23.651733989041016</c:v>
                </c:pt>
                <c:pt idx="4">
                  <c:v>19.03990710077538</c:v>
                </c:pt>
                <c:pt idx="5">
                  <c:v>14.375514392922973</c:v>
                </c:pt>
                <c:pt idx="6">
                  <c:v>9.6554116286409855</c:v>
                </c:pt>
                <c:pt idx="7">
                  <c:v>4.8731268181680729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181-49CD-B49D-CDD21292BA76}"/>
            </c:ext>
          </c:extLst>
        </c:ser>
        <c:ser>
          <c:idx val="3"/>
          <c:order val="2"/>
          <c:tx>
            <c:strRef>
              <c:f>'Konvektion+Strahlung'!$A$29</c:f>
              <c:strCache>
                <c:ptCount val="1"/>
                <c:pt idx="0">
                  <c:v>Rad. Oben</c:v>
                </c:pt>
              </c:strCache>
            </c:strRef>
          </c:tx>
          <c:spPr>
            <a:ln w="12700" cap="rnd">
              <a:noFill/>
              <a:round/>
            </a:ln>
            <a:effectLst/>
          </c:spPr>
          <c:marker>
            <c:symbol val="diamond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6350" cap="rnd">
                <a:solidFill>
                  <a:srgbClr val="FF0000"/>
                </a:solidFill>
                <a:prstDash val="solid"/>
              </a:ln>
              <a:effectLst/>
            </c:spPr>
            <c:trendlineType val="power"/>
            <c:dispRSqr val="0"/>
            <c:dispEq val="0"/>
          </c:trendline>
          <c:xVal>
            <c:numRef>
              <c:f>'Konvektion+Strahlung'!$C$8:$J$8</c:f>
              <c:numCache>
                <c:formatCode>General</c:formatCode>
                <c:ptCount val="8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</c:numCache>
            </c:numRef>
          </c:xVal>
          <c:yVal>
            <c:numRef>
              <c:f>'Konvektion+Strahlung'!$C$29:$J$29</c:f>
              <c:numCache>
                <c:formatCode>0.00</c:formatCode>
                <c:ptCount val="8"/>
                <c:pt idx="0">
                  <c:v>33.515765322563652</c:v>
                </c:pt>
                <c:pt idx="1">
                  <c:v>29.493414676343622</c:v>
                </c:pt>
                <c:pt idx="2">
                  <c:v>25.427228162160006</c:v>
                </c:pt>
                <c:pt idx="3">
                  <c:v>21.316449299232229</c:v>
                </c:pt>
                <c:pt idx="4">
                  <c:v>17.159977131648191</c:v>
                </c:pt>
                <c:pt idx="5">
                  <c:v>12.956129298981281</c:v>
                </c:pt>
                <c:pt idx="6">
                  <c:v>8.7020720146991604</c:v>
                </c:pt>
                <c:pt idx="7">
                  <c:v>4.3919723093596499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181-49CD-B49D-CDD21292BA76}"/>
            </c:ext>
          </c:extLst>
        </c:ser>
        <c:ser>
          <c:idx val="1"/>
          <c:order val="3"/>
          <c:tx>
            <c:strRef>
              <c:f>'Konvektion+Strahlung'!$A$49</c:f>
              <c:strCache>
                <c:ptCount val="1"/>
                <c:pt idx="0">
                  <c:v>Konvektion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6350" cap="rnd">
                <a:solidFill>
                  <a:srgbClr val="0070C0"/>
                </a:solidFill>
                <a:prstDash val="solid"/>
              </a:ln>
              <a:effectLst/>
            </c:spPr>
            <c:trendlineType val="power"/>
            <c:dispRSqr val="0"/>
            <c:dispEq val="0"/>
          </c:trendline>
          <c:xVal>
            <c:numRef>
              <c:f>'Konvektion+Strahlung'!$C$8:$J$8</c:f>
              <c:numCache>
                <c:formatCode>General</c:formatCode>
                <c:ptCount val="8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</c:numCache>
            </c:numRef>
          </c:xVal>
          <c:yVal>
            <c:numRef>
              <c:f>'Konvektion+Strahlung'!$C$49:$J$49</c:f>
              <c:numCache>
                <c:formatCode>0.00</c:formatCode>
                <c:ptCount val="8"/>
                <c:pt idx="0">
                  <c:v>18.929752106605505</c:v>
                </c:pt>
                <c:pt idx="1">
                  <c:v>15.848778027405331</c:v>
                </c:pt>
                <c:pt idx="2">
                  <c:v>12.917608001676697</c:v>
                </c:pt>
                <c:pt idx="3">
                  <c:v>10.147115146743502</c:v>
                </c:pt>
                <c:pt idx="4">
                  <c:v>7.5525968237393784</c:v>
                </c:pt>
                <c:pt idx="5">
                  <c:v>5.1570945660914447</c:v>
                </c:pt>
                <c:pt idx="6">
                  <c:v>2.9993683848474824</c:v>
                </c:pt>
                <c:pt idx="7">
                  <c:v>1.1597983307080497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181-49CD-B49D-CDD21292BA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283839"/>
        <c:axId val="1982296319"/>
      </c:scatterChart>
      <c:valAx>
        <c:axId val="1982283839"/>
        <c:scaling>
          <c:orientation val="minMax"/>
          <c:max val="8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Referenztemperatur - Fluidtemperatur  K</a:t>
                </a:r>
              </a:p>
            </c:rich>
          </c:tx>
          <c:layout>
            <c:manualLayout>
              <c:xMode val="edge"/>
              <c:yMode val="edge"/>
              <c:x val="0.1772681132891803"/>
              <c:y val="0.926813952841399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982296319"/>
        <c:crosses val="autoZero"/>
        <c:crossBetween val="midCat"/>
        <c:majorUnit val="1"/>
      </c:valAx>
      <c:valAx>
        <c:axId val="1982296319"/>
        <c:scaling>
          <c:orientation val="minMax"/>
          <c:max val="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Leistungsdichte   W/m</a:t>
                </a:r>
                <a:r>
                  <a:rPr lang="en-US" baseline="30000"/>
                  <a:t>2</a:t>
                </a:r>
              </a:p>
            </c:rich>
          </c:tx>
          <c:layout>
            <c:manualLayout>
              <c:xMode val="edge"/>
              <c:yMode val="edge"/>
              <c:x val="6.6986940929697546E-4"/>
              <c:y val="0.21801158883560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98228383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22654499130738"/>
          <c:y val="0.19501735551232574"/>
          <c:w val="0.3277345500869262"/>
          <c:h val="0.6011574965063578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9815608144748843E-2"/>
          <c:y val="2.8137856104809657E-2"/>
          <c:w val="0.56969182459461509"/>
          <c:h val="0.8176422188781894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'Konvektion+Strahlung'!$A$9</c:f>
              <c:strCache>
                <c:ptCount val="1"/>
                <c:pt idx="0">
                  <c:v>Gesamtleistung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6350" cap="rnd">
                <a:solidFill>
                  <a:schemeClr val="tx1"/>
                </a:solidFill>
                <a:prstDash val="solid"/>
              </a:ln>
              <a:effectLst/>
            </c:spPr>
            <c:trendlineType val="power"/>
            <c:dispRSqr val="0"/>
            <c:dispEq val="0"/>
          </c:trendline>
          <c:xVal>
            <c:numRef>
              <c:f>'Konvektion+Strahlung'!$C$8:$J$8</c:f>
              <c:numCache>
                <c:formatCode>General</c:formatCode>
                <c:ptCount val="8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</c:numCache>
            </c:numRef>
          </c:xVal>
          <c:yVal>
            <c:numRef>
              <c:f>'Konvektion+Strahlung'!$C$9:$J$9</c:f>
              <c:numCache>
                <c:formatCode>0.0</c:formatCode>
                <c:ptCount val="8"/>
                <c:pt idx="0">
                  <c:v>89.633041238631748</c:v>
                </c:pt>
                <c:pt idx="1">
                  <c:v>78.066704584744187</c:v>
                </c:pt>
                <c:pt idx="2">
                  <c:v>66.557697889908582</c:v>
                </c:pt>
                <c:pt idx="3">
                  <c:v>55.115298435016747</c:v>
                </c:pt>
                <c:pt idx="4">
                  <c:v>43.752481056162949</c:v>
                </c:pt>
                <c:pt idx="5">
                  <c:v>32.488738257995699</c:v>
                </c:pt>
                <c:pt idx="6">
                  <c:v>21.356852028187628</c:v>
                </c:pt>
                <c:pt idx="7">
                  <c:v>10.424897458235773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52B-4753-994C-46E28F024E94}"/>
            </c:ext>
          </c:extLst>
        </c:ser>
        <c:ser>
          <c:idx val="2"/>
          <c:order val="1"/>
          <c:tx>
            <c:strRef>
              <c:f>'Konvektion+Strahlung'!$A$53</c:f>
              <c:strCache>
                <c:ptCount val="1"/>
                <c:pt idx="0">
                  <c:v>Baehr&amp;Stephan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x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6350" cap="rnd">
                <a:solidFill>
                  <a:srgbClr val="0070C0"/>
                </a:solidFill>
                <a:prstDash val="lgDash"/>
              </a:ln>
              <a:effectLst/>
            </c:spPr>
            <c:trendlineType val="power"/>
            <c:dispRSqr val="0"/>
            <c:dispEq val="0"/>
          </c:trendline>
          <c:xVal>
            <c:numRef>
              <c:f>'Konvektion+Strahlung'!$C$8:$J$8</c:f>
              <c:numCache>
                <c:formatCode>General</c:formatCode>
                <c:ptCount val="8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</c:numCache>
            </c:numRef>
          </c:xVal>
          <c:yVal>
            <c:numRef>
              <c:f>'Konvektion+Strahlung'!$C$53:$J$53</c:f>
              <c:numCache>
                <c:formatCode>0.00</c:formatCode>
                <c:ptCount val="8"/>
                <c:pt idx="0">
                  <c:v>23.781529394534822</c:v>
                </c:pt>
                <c:pt idx="1">
                  <c:v>20.045052983567924</c:v>
                </c:pt>
                <c:pt idx="2">
                  <c:v>16.455779023543101</c:v>
                </c:pt>
                <c:pt idx="3">
                  <c:v>13.031439245209281</c:v>
                </c:pt>
                <c:pt idx="4">
                  <c:v>9.7955122324834463</c:v>
                </c:pt>
                <c:pt idx="5">
                  <c:v>6.7811606279348684</c:v>
                </c:pt>
                <c:pt idx="6">
                  <c:v>4.0401253521348632</c:v>
                </c:pt>
                <c:pt idx="7">
                  <c:v>1.6692372436348222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52B-4753-994C-46E28F024E94}"/>
            </c:ext>
          </c:extLst>
        </c:ser>
        <c:ser>
          <c:idx val="3"/>
          <c:order val="2"/>
          <c:tx>
            <c:strRef>
              <c:f>'Konvektion+Strahlung'!$A$55</c:f>
              <c:strCache>
                <c:ptCount val="1"/>
                <c:pt idx="0">
                  <c:v>Lloyd, Lewandowski</c:v>
                </c:pt>
              </c:strCache>
              <c:extLst xmlns:c15="http://schemas.microsoft.com/office/drawing/2012/chart"/>
            </c:strRef>
          </c:tx>
          <c:spPr>
            <a:ln w="25400" cap="rnd">
              <a:noFill/>
              <a:round/>
            </a:ln>
            <a:effectLst/>
          </c:spPr>
          <c:marker>
            <c:symbol val="plus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'Konvektion+Strahlung'!$C$8:$J$8</c:f>
              <c:numCache>
                <c:formatCode>General</c:formatCode>
                <c:ptCount val="8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</c:numCache>
              <c:extLst xmlns:c15="http://schemas.microsoft.com/office/drawing/2012/chart"/>
            </c:numRef>
          </c:xVal>
          <c:yVal>
            <c:numRef>
              <c:f>'Konvektion+Strahlung'!$C$55:$J$55</c:f>
              <c:numCache>
                <c:formatCode>0.00</c:formatCode>
                <c:ptCount val="8"/>
                <c:pt idx="0">
                  <c:v>30.023374678957339</c:v>
                </c:pt>
                <c:pt idx="1">
                  <c:v>25.283322677387311</c:v>
                </c:pt>
                <c:pt idx="2">
                  <c:v>20.734401505434107</c:v>
                </c:pt>
                <c:pt idx="3">
                  <c:v>16.39938332131139</c:v>
                </c:pt>
                <c:pt idx="4">
                  <c:v>11.781584558565841</c:v>
                </c:pt>
                <c:pt idx="5">
                  <c:v>8.2823930221724815</c:v>
                </c:pt>
                <c:pt idx="6">
                  <c:v>5.0395018007817312</c:v>
                </c:pt>
                <c:pt idx="7">
                  <c:v>2.1550580372485189</c:v>
                </c:pt>
              </c:numCache>
              <c:extLst xmlns:c15="http://schemas.microsoft.com/office/drawing/2012/chart"/>
            </c:numRef>
          </c:yVal>
          <c:smooth val="1"/>
          <c:extLst xmlns:c15="http://schemas.microsoft.com/office/drawing/2012/chart">
            <c:ext xmlns:c16="http://schemas.microsoft.com/office/drawing/2014/chart" uri="{C3380CC4-5D6E-409C-BE32-E72D297353CC}">
              <c16:uniqueId val="{00000007-952B-4753-994C-46E28F024E94}"/>
            </c:ext>
          </c:extLst>
        </c:ser>
        <c:ser>
          <c:idx val="1"/>
          <c:order val="3"/>
          <c:tx>
            <c:strRef>
              <c:f>'Konvektion+Strahlung'!$A$49</c:f>
              <c:strCache>
                <c:ptCount val="1"/>
                <c:pt idx="0">
                  <c:v>Konvektion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6350" cap="rnd">
                <a:solidFill>
                  <a:srgbClr val="0070C0"/>
                </a:solidFill>
                <a:prstDash val="solid"/>
              </a:ln>
              <a:effectLst/>
            </c:spPr>
            <c:trendlineType val="power"/>
            <c:dispRSqr val="0"/>
            <c:dispEq val="0"/>
          </c:trendline>
          <c:xVal>
            <c:numRef>
              <c:f>'Konvektion+Strahlung'!$C$8:$J$8</c:f>
              <c:numCache>
                <c:formatCode>General</c:formatCode>
                <c:ptCount val="8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</c:numCache>
            </c:numRef>
          </c:xVal>
          <c:yVal>
            <c:numRef>
              <c:f>'Konvektion+Strahlung'!$C$49:$J$49</c:f>
              <c:numCache>
                <c:formatCode>0.00</c:formatCode>
                <c:ptCount val="8"/>
                <c:pt idx="0">
                  <c:v>18.929752106605505</c:v>
                </c:pt>
                <c:pt idx="1">
                  <c:v>15.848778027405331</c:v>
                </c:pt>
                <c:pt idx="2">
                  <c:v>12.917608001676697</c:v>
                </c:pt>
                <c:pt idx="3">
                  <c:v>10.147115146743502</c:v>
                </c:pt>
                <c:pt idx="4">
                  <c:v>7.5525968237393784</c:v>
                </c:pt>
                <c:pt idx="5">
                  <c:v>5.1570945660914447</c:v>
                </c:pt>
                <c:pt idx="6">
                  <c:v>2.9993683848474824</c:v>
                </c:pt>
                <c:pt idx="7">
                  <c:v>1.1597983307080497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52B-4753-994C-46E28F024E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283839"/>
        <c:axId val="1982296319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'Konvektion+Strahlung'!$A$58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'Konvektion+Strahlung'!$C$8:$J$8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8</c:v>
                      </c:pt>
                      <c:pt idx="1">
                        <c:v>7</c:v>
                      </c:pt>
                      <c:pt idx="2">
                        <c:v>6</c:v>
                      </c:pt>
                      <c:pt idx="3">
                        <c:v>5</c:v>
                      </c:pt>
                      <c:pt idx="4">
                        <c:v>4</c:v>
                      </c:pt>
                      <c:pt idx="5">
                        <c:v>3</c:v>
                      </c:pt>
                      <c:pt idx="6">
                        <c:v>2</c:v>
                      </c:pt>
                      <c:pt idx="7">
                        <c:v>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'Konvektion+Strahlung'!$C$58:$J$58</c15:sqref>
                        </c15:formulaRef>
                      </c:ext>
                    </c:extLst>
                    <c:numCache>
                      <c:formatCode>0.00</c:formatCode>
                      <c:ptCount val="8"/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8-952B-4753-994C-46E28F024E94}"/>
                  </c:ext>
                </c:extLst>
              </c15:ser>
            </c15:filteredScatterSeries>
          </c:ext>
        </c:extLst>
      </c:scatterChart>
      <c:valAx>
        <c:axId val="1982283839"/>
        <c:scaling>
          <c:orientation val="minMax"/>
          <c:max val="8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Referenztemperatur - Fluidtemperatur  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982296319"/>
        <c:crosses val="autoZero"/>
        <c:crossBetween val="midCat"/>
        <c:majorUnit val="1"/>
      </c:valAx>
      <c:valAx>
        <c:axId val="1982296319"/>
        <c:scaling>
          <c:orientation val="minMax"/>
          <c:max val="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Leistungsdichte   W/m</a:t>
                </a:r>
                <a:r>
                  <a:rPr lang="en-US" baseline="30000"/>
                  <a:t>2</a:t>
                </a:r>
              </a:p>
            </c:rich>
          </c:tx>
          <c:layout>
            <c:manualLayout>
              <c:xMode val="edge"/>
              <c:yMode val="edge"/>
              <c:x val="4.0666845507701138E-5"/>
              <c:y val="0.152749581642758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98228383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909778317038594"/>
          <c:y val="0.22171918399617174"/>
          <c:w val="0.32090221682961406"/>
          <c:h val="0.450868122379768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9815608144748843E-2"/>
          <c:y val="2.8137856104809657E-2"/>
          <c:w val="0.57846615479965635"/>
          <c:h val="0.8176422188781894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'Konvektion+Strahlung'!$X$2</c:f>
              <c:strCache>
                <c:ptCount val="1"/>
                <c:pt idx="0">
                  <c:v>Datenblatt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squar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6350" cap="rnd">
                <a:solidFill>
                  <a:schemeClr val="tx1"/>
                </a:solidFill>
                <a:prstDash val="solid"/>
              </a:ln>
              <a:effectLst/>
            </c:spPr>
            <c:trendlineType val="power"/>
            <c:dispRSqr val="0"/>
            <c:dispEq val="0"/>
          </c:trendline>
          <c:xVal>
            <c:numRef>
              <c:f>'Konvektion+Strahlung'!$X$8:$AE$8</c:f>
              <c:numCache>
                <c:formatCode>General</c:formatCode>
                <c:ptCount val="8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</c:numCache>
            </c:numRef>
          </c:xVal>
          <c:yVal>
            <c:numRef>
              <c:f>'Konvektion+Strahlung'!$X$9:$AE$9</c:f>
              <c:numCache>
                <c:formatCode>0.0</c:formatCode>
                <c:ptCount val="8"/>
                <c:pt idx="0">
                  <c:v>105.48526273578479</c:v>
                </c:pt>
                <c:pt idx="1">
                  <c:v>91.465305556186379</c:v>
                </c:pt>
                <c:pt idx="2">
                  <c:v>77.58132958209427</c:v>
                </c:pt>
                <c:pt idx="3">
                  <c:v>63.854520416763059</c:v>
                </c:pt>
                <c:pt idx="4">
                  <c:v>50.314336914410163</c:v>
                </c:pt>
                <c:pt idx="5">
                  <c:v>37.00472514950831</c:v>
                </c:pt>
                <c:pt idx="6">
                  <c:v>23.998921114484563</c:v>
                </c:pt>
                <c:pt idx="7">
                  <c:v>11.446999999999999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280-424C-B963-124CC5D71C1B}"/>
            </c:ext>
          </c:extLst>
        </c:ser>
        <c:ser>
          <c:idx val="1"/>
          <c:order val="1"/>
          <c:tx>
            <c:strRef>
              <c:f>'Konvektion+Strahlung'!$Z$2</c:f>
              <c:strCache>
                <c:ptCount val="1"/>
                <c:pt idx="0">
                  <c:v>Prototyp opt.</c:v>
                </c:pt>
              </c:strCache>
            </c:strRef>
          </c:tx>
          <c:spPr>
            <a:ln w="12700" cap="rnd">
              <a:noFill/>
              <a:prstDash val="dash"/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6350" cap="rnd">
                <a:solidFill>
                  <a:srgbClr val="0070C0"/>
                </a:solidFill>
                <a:prstDash val="lgDash"/>
              </a:ln>
              <a:effectLst/>
            </c:spPr>
            <c:trendlineType val="power"/>
            <c:dispRSqr val="0"/>
            <c:dispEq val="0"/>
          </c:trendline>
          <c:xVal>
            <c:numRef>
              <c:f>'Konvektion+Strahlung'!$X$8:$AE$8</c:f>
              <c:numCache>
                <c:formatCode>General</c:formatCode>
                <c:ptCount val="8"/>
                <c:pt idx="0">
                  <c:v>8</c:v>
                </c:pt>
                <c:pt idx="1">
                  <c:v>7</c:v>
                </c:pt>
                <c:pt idx="2">
                  <c:v>6</c:v>
                </c:pt>
                <c:pt idx="3">
                  <c:v>5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</c:numCache>
            </c:numRef>
          </c:xVal>
          <c:yVal>
            <c:numRef>
              <c:f>'Konvektion+Strahlung'!$X$10:$AE$10</c:f>
              <c:numCache>
                <c:formatCode>0.0</c:formatCode>
                <c:ptCount val="8"/>
                <c:pt idx="0">
                  <c:v>89.633041238631748</c:v>
                </c:pt>
                <c:pt idx="1">
                  <c:v>78.066704584744187</c:v>
                </c:pt>
                <c:pt idx="2">
                  <c:v>66.557697889908582</c:v>
                </c:pt>
                <c:pt idx="3">
                  <c:v>55.115298435016747</c:v>
                </c:pt>
                <c:pt idx="4">
                  <c:v>43.752481056162949</c:v>
                </c:pt>
                <c:pt idx="5">
                  <c:v>32.488738257995699</c:v>
                </c:pt>
                <c:pt idx="6">
                  <c:v>21.356852028187628</c:v>
                </c:pt>
                <c:pt idx="7">
                  <c:v>10.424897458235773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280-424C-B963-124CC5D71C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283839"/>
        <c:axId val="1982296319"/>
        <c:extLst>
          <c:ext xmlns:c15="http://schemas.microsoft.com/office/drawing/2012/chart" uri="{02D57815-91ED-43cb-92C2-25804820EDAC}">
            <c15:filteredScatte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'Konvektion+Strahlung'!$A$58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'Konvektion+Strahlung'!$C$8:$J$8</c15:sqref>
                        </c15:formulaRef>
                      </c:ext>
                    </c:extLst>
                    <c:numCache>
                      <c:formatCode>General</c:formatCode>
                      <c:ptCount val="8"/>
                      <c:pt idx="0">
                        <c:v>8</c:v>
                      </c:pt>
                      <c:pt idx="1">
                        <c:v>7</c:v>
                      </c:pt>
                      <c:pt idx="2">
                        <c:v>6</c:v>
                      </c:pt>
                      <c:pt idx="3">
                        <c:v>5</c:v>
                      </c:pt>
                      <c:pt idx="4">
                        <c:v>4</c:v>
                      </c:pt>
                      <c:pt idx="5">
                        <c:v>3</c:v>
                      </c:pt>
                      <c:pt idx="6">
                        <c:v>2</c:v>
                      </c:pt>
                      <c:pt idx="7">
                        <c:v>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'Konvektion+Strahlung'!$C$58:$J$58</c15:sqref>
                        </c15:formulaRef>
                      </c:ext>
                    </c:extLst>
                    <c:numCache>
                      <c:formatCode>0.00</c:formatCode>
                      <c:ptCount val="8"/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7-2280-424C-B963-124CC5D71C1B}"/>
                  </c:ext>
                </c:extLst>
              </c15:ser>
            </c15:filteredScatterSeries>
          </c:ext>
        </c:extLst>
      </c:scatterChart>
      <c:valAx>
        <c:axId val="1982283839"/>
        <c:scaling>
          <c:orientation val="minMax"/>
          <c:max val="8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Referenztemperatur - Fluidtemperatur  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982296319"/>
        <c:crosses val="autoZero"/>
        <c:crossBetween val="midCat"/>
        <c:majorUnit val="1"/>
      </c:valAx>
      <c:valAx>
        <c:axId val="1982296319"/>
        <c:scaling>
          <c:orientation val="minMax"/>
          <c:max val="1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Leistungsdichte   W/m</a:t>
                </a:r>
                <a:r>
                  <a:rPr lang="en-US" baseline="30000"/>
                  <a:t>2</a:t>
                </a:r>
              </a:p>
            </c:rich>
          </c:tx>
          <c:layout>
            <c:manualLayout>
              <c:xMode val="edge"/>
              <c:yMode val="edge"/>
              <c:x val="4.0666845507701138E-5"/>
              <c:y val="0.152749581642758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98228383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909778317038594"/>
          <c:y val="0.22171918399617174"/>
          <c:w val="0.32090221682961406"/>
          <c:h val="0.450868122379768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45603674540682"/>
          <c:y val="4.2083333333333355E-2"/>
          <c:w val="0.85321062992125984"/>
          <c:h val="0.83812445319335083"/>
        </c:manualLayout>
      </c:layout>
      <c:scatterChart>
        <c:scatterStyle val="smoothMarker"/>
        <c:varyColors val="0"/>
        <c:ser>
          <c:idx val="4"/>
          <c:order val="0"/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Kollektorfeld!$G$7:$G$38</c:f>
              <c:numCache>
                <c:formatCode>General</c:formatCode>
                <c:ptCount val="32"/>
                <c:pt idx="0">
                  <c:v>-20</c:v>
                </c:pt>
                <c:pt idx="1">
                  <c:v>-19</c:v>
                </c:pt>
                <c:pt idx="2">
                  <c:v>-18</c:v>
                </c:pt>
                <c:pt idx="3">
                  <c:v>-17</c:v>
                </c:pt>
                <c:pt idx="4">
                  <c:v>-16</c:v>
                </c:pt>
                <c:pt idx="5">
                  <c:v>-15</c:v>
                </c:pt>
                <c:pt idx="6">
                  <c:v>-14</c:v>
                </c:pt>
                <c:pt idx="7">
                  <c:v>-13</c:v>
                </c:pt>
                <c:pt idx="8">
                  <c:v>-12</c:v>
                </c:pt>
                <c:pt idx="9">
                  <c:v>-11</c:v>
                </c:pt>
                <c:pt idx="10">
                  <c:v>-10</c:v>
                </c:pt>
                <c:pt idx="11">
                  <c:v>-9</c:v>
                </c:pt>
                <c:pt idx="12">
                  <c:v>-8</c:v>
                </c:pt>
                <c:pt idx="13">
                  <c:v>-7</c:v>
                </c:pt>
                <c:pt idx="14">
                  <c:v>-6</c:v>
                </c:pt>
                <c:pt idx="15">
                  <c:v>-5</c:v>
                </c:pt>
                <c:pt idx="16">
                  <c:v>-4</c:v>
                </c:pt>
                <c:pt idx="17">
                  <c:v>-3</c:v>
                </c:pt>
                <c:pt idx="18">
                  <c:v>-2</c:v>
                </c:pt>
                <c:pt idx="19">
                  <c:v>-1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3</c:v>
                </c:pt>
                <c:pt idx="24">
                  <c:v>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</c:numCache>
            </c:numRef>
          </c:xVal>
          <c:yVal>
            <c:numRef>
              <c:f>Kollektorfeld!$M$7:$M$38</c:f>
              <c:numCache>
                <c:formatCode>0.00</c:formatCode>
                <c:ptCount val="32"/>
                <c:pt idx="0">
                  <c:v>578.10331814135486</c:v>
                </c:pt>
                <c:pt idx="1">
                  <c:v>551.93447741501177</c:v>
                </c:pt>
                <c:pt idx="2">
                  <c:v>525.47709255882683</c:v>
                </c:pt>
                <c:pt idx="3">
                  <c:v>498.73124729877611</c:v>
                </c:pt>
                <c:pt idx="4">
                  <c:v>471.69702566568145</c:v>
                </c:pt>
                <c:pt idx="5">
                  <c:v>444.37451199521092</c:v>
                </c:pt>
                <c:pt idx="6">
                  <c:v>416.76379092787869</c:v>
                </c:pt>
                <c:pt idx="7">
                  <c:v>388.86494740904487</c:v>
                </c:pt>
                <c:pt idx="8">
                  <c:v>360.67806668891581</c:v>
                </c:pt>
                <c:pt idx="9">
                  <c:v>332.20323432254389</c:v>
                </c:pt>
                <c:pt idx="10">
                  <c:v>303.44053616982745</c:v>
                </c:pt>
                <c:pt idx="11">
                  <c:v>274.39005839551089</c:v>
                </c:pt>
                <c:pt idx="12">
                  <c:v>245.05188746918506</c:v>
                </c:pt>
                <c:pt idx="13">
                  <c:v>215.42611016528645</c:v>
                </c:pt>
                <c:pt idx="14">
                  <c:v>185.51281356309789</c:v>
                </c:pt>
                <c:pt idx="15">
                  <c:v>155.31208504674822</c:v>
                </c:pt>
                <c:pt idx="16">
                  <c:v>124.82401230521225</c:v>
                </c:pt>
                <c:pt idx="17">
                  <c:v>94.048683332311128</c:v>
                </c:pt>
                <c:pt idx="18">
                  <c:v>62.986186426711818</c:v>
                </c:pt>
                <c:pt idx="19">
                  <c:v>31.636610191927485</c:v>
                </c:pt>
                <c:pt idx="20">
                  <c:v>4.3536317391044576E-5</c:v>
                </c:pt>
                <c:pt idx="21">
                  <c:v>-31.623424326913188</c:v>
                </c:pt>
                <c:pt idx="22">
                  <c:v>-62.933703879712837</c:v>
                </c:pt>
                <c:pt idx="23">
                  <c:v>-93.930705299184069</c:v>
                </c:pt>
                <c:pt idx="24">
                  <c:v>-124.61433845758334</c:v>
                </c:pt>
                <c:pt idx="25">
                  <c:v>-154.98451292232107</c:v>
                </c:pt>
                <c:pt idx="26">
                  <c:v>-185.04113795596146</c:v>
                </c:pt>
                <c:pt idx="27">
                  <c:v>-214.78412251622282</c:v>
                </c:pt>
                <c:pt idx="28">
                  <c:v>-244.21337525597718</c:v>
                </c:pt>
                <c:pt idx="29">
                  <c:v>-273.32880452325065</c:v>
                </c:pt>
                <c:pt idx="30">
                  <c:v>-302.1303183612232</c:v>
                </c:pt>
                <c:pt idx="31">
                  <c:v>-330.61782450822864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E21-41D4-8C37-9C94C40E1B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1748815"/>
        <c:axId val="1411755887"/>
      </c:scatterChart>
      <c:valAx>
        <c:axId val="14117488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Temperaturdifferenz K</a:t>
                </a:r>
              </a:p>
            </c:rich>
          </c:tx>
          <c:layout>
            <c:manualLayout>
              <c:xMode val="edge"/>
              <c:yMode val="edge"/>
              <c:x val="0.40492235345581801"/>
              <c:y val="0.903355934674832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755887"/>
        <c:crosses val="autoZero"/>
        <c:crossBetween val="midCat"/>
      </c:valAx>
      <c:valAx>
        <c:axId val="1411755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Leistungsdichte W/m2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174881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67142857142857"/>
          <c:y val="3.0438704058509774E-2"/>
          <c:w val="0.81853968253968257"/>
          <c:h val="0.77085356018047102"/>
        </c:manualLayout>
      </c:layout>
      <c:scatterChart>
        <c:scatterStyle val="smoothMarker"/>
        <c:varyColors val="0"/>
        <c:ser>
          <c:idx val="0"/>
          <c:order val="0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Wand!$A$2:$A$120</c:f>
              <c:numCache>
                <c:formatCode>General</c:formatCode>
                <c:ptCount val="119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Wand!$B$2:$B$120</c:f>
              <c:numCache>
                <c:formatCode>General</c:formatCode>
                <c:ptCount val="119"/>
                <c:pt idx="0">
                  <c:v>26</c:v>
                </c:pt>
                <c:pt idx="1">
                  <c:v>26</c:v>
                </c:pt>
                <c:pt idx="2">
                  <c:v>26</c:v>
                </c:pt>
                <c:pt idx="3">
                  <c:v>26</c:v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26</c:v>
                </c:pt>
                <c:pt idx="8">
                  <c:v>26</c:v>
                </c:pt>
                <c:pt idx="9">
                  <c:v>26</c:v>
                </c:pt>
                <c:pt idx="10">
                  <c:v>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90-461A-9598-738DF0992CE2}"/>
            </c:ext>
          </c:extLst>
        </c:ser>
        <c:ser>
          <c:idx val="1"/>
          <c:order val="1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Wand!$A$2:$A$120</c:f>
              <c:numCache>
                <c:formatCode>General</c:formatCode>
                <c:ptCount val="119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Wand!$C$2:$C$120</c:f>
              <c:numCache>
                <c:formatCode>General</c:formatCode>
                <c:ptCount val="119"/>
                <c:pt idx="0">
                  <c:v>25.433093440304262</c:v>
                </c:pt>
                <c:pt idx="1">
                  <c:v>25.459787105115783</c:v>
                </c:pt>
                <c:pt idx="2">
                  <c:v>25.484930086531357</c:v>
                </c:pt>
                <c:pt idx="3">
                  <c:v>25.507153125607939</c:v>
                </c:pt>
                <c:pt idx="4">
                  <c:v>25.526441942606318</c:v>
                </c:pt>
                <c:pt idx="5">
                  <c:v>25.542784167172318</c:v>
                </c:pt>
                <c:pt idx="6">
                  <c:v>25.556169336543427</c:v>
                </c:pt>
                <c:pt idx="7">
                  <c:v>25.56658889363548</c:v>
                </c:pt>
                <c:pt idx="8">
                  <c:v>25.574036185194167</c:v>
                </c:pt>
                <c:pt idx="9">
                  <c:v>25.578506460174342</c:v>
                </c:pt>
                <c:pt idx="10">
                  <c:v>25.579996868481313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B90-461A-9598-738DF0992CE2}"/>
            </c:ext>
          </c:extLst>
        </c:ser>
        <c:ser>
          <c:idx val="2"/>
          <c:order val="2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Wand!$A$2:$A$120</c:f>
              <c:numCache>
                <c:formatCode>General</c:formatCode>
                <c:ptCount val="119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Wand!$D$2:$D$120</c:f>
              <c:numCache>
                <c:formatCode>General</c:formatCode>
                <c:ptCount val="119"/>
                <c:pt idx="0">
                  <c:v>25.012518331335944</c:v>
                </c:pt>
                <c:pt idx="1">
                  <c:v>25.036627550038748</c:v>
                </c:pt>
                <c:pt idx="2">
                  <c:v>25.05933718214893</c:v>
                </c:pt>
                <c:pt idx="3">
                  <c:v>25.079411329493929</c:v>
                </c:pt>
                <c:pt idx="4">
                  <c:v>25.096836424906467</c:v>
                </c:pt>
                <c:pt idx="5">
                  <c:v>25.111600695760128</c:v>
                </c:pt>
                <c:pt idx="6">
                  <c:v>25.123694170175057</c:v>
                </c:pt>
                <c:pt idx="7">
                  <c:v>25.133108682247638</c:v>
                </c:pt>
                <c:pt idx="8">
                  <c:v>25.139837876314566</c:v>
                </c:pt>
                <c:pt idx="9">
                  <c:v>25.143877210260062</c:v>
                </c:pt>
                <c:pt idx="10">
                  <c:v>25.14522395787316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B90-461A-9598-738DF0992CE2}"/>
            </c:ext>
          </c:extLst>
        </c:ser>
        <c:ser>
          <c:idx val="3"/>
          <c:order val="3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Wand!$A$2:$A$120</c:f>
              <c:numCache>
                <c:formatCode>General</c:formatCode>
                <c:ptCount val="119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Wand!$E$2:$E$120</c:f>
              <c:numCache>
                <c:formatCode>General</c:formatCode>
                <c:ptCount val="119"/>
                <c:pt idx="0">
                  <c:v>24.633509345104947</c:v>
                </c:pt>
                <c:pt idx="1">
                  <c:v>24.655227477602239</c:v>
                </c:pt>
                <c:pt idx="2">
                  <c:v>24.675685052780345</c:v>
                </c:pt>
                <c:pt idx="3">
                  <c:v>24.693768928609593</c:v>
                </c:pt>
                <c:pt idx="4">
                  <c:v>24.709466726533794</c:v>
                </c:pt>
                <c:pt idx="5">
                  <c:v>24.722767702289897</c:v>
                </c:pt>
                <c:pt idx="6">
                  <c:v>24.733662752844118</c:v>
                </c:pt>
                <c:pt idx="7">
                  <c:v>24.74214442225993</c:v>
                </c:pt>
                <c:pt idx="8">
                  <c:v>24.748206906498407</c:v>
                </c:pt>
                <c:pt idx="9">
                  <c:v>24.751846057151276</c:v>
                </c:pt>
                <c:pt idx="10">
                  <c:v>24.753059384107189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B90-461A-9598-738DF0992CE2}"/>
            </c:ext>
          </c:extLst>
        </c:ser>
        <c:ser>
          <c:idx val="4"/>
          <c:order val="4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Wand!$A$2:$A$120</c:f>
              <c:numCache>
                <c:formatCode>General</c:formatCode>
                <c:ptCount val="119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Wand!$F$2:$F$120</c:f>
              <c:numCache>
                <c:formatCode>General</c:formatCode>
                <c:ptCount val="119"/>
                <c:pt idx="0">
                  <c:v>24.292287252772546</c:v>
                </c:pt>
                <c:pt idx="1">
                  <c:v>24.311838723975448</c:v>
                </c:pt>
                <c:pt idx="2">
                  <c:v>24.330255422877833</c:v>
                </c:pt>
                <c:pt idx="3">
                  <c:v>24.346535280612805</c:v>
                </c:pt>
                <c:pt idx="4">
                  <c:v>24.36066713484189</c:v>
                </c:pt>
                <c:pt idx="5">
                  <c:v>24.372641295779715</c:v>
                </c:pt>
                <c:pt idx="6">
                  <c:v>24.382449552942496</c:v>
                </c:pt>
                <c:pt idx="7">
                  <c:v>24.390085180862304</c:v>
                </c:pt>
                <c:pt idx="8">
                  <c:v>24.395542943765168</c:v>
                </c:pt>
                <c:pt idx="9">
                  <c:v>24.398819099211284</c:v>
                </c:pt>
                <c:pt idx="10">
                  <c:v>24.399911400696098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B90-461A-9598-738DF0992CE2}"/>
            </c:ext>
          </c:extLst>
        </c:ser>
        <c:ser>
          <c:idx val="5"/>
          <c:order val="5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Wand!$A$2:$A$120</c:f>
              <c:numCache>
                <c:formatCode>General</c:formatCode>
                <c:ptCount val="119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Wand!$G$2:$G$120</c:f>
              <c:numCache>
                <c:formatCode>General</c:formatCode>
                <c:ptCount val="119"/>
                <c:pt idx="0">
                  <c:v>23.985084791108488</c:v>
                </c:pt>
                <c:pt idx="1">
                  <c:v>24.00268876237693</c:v>
                </c:pt>
                <c:pt idx="2">
                  <c:v>24.019270938805146</c:v>
                </c:pt>
                <c:pt idx="3">
                  <c:v>24.033929019816103</c:v>
                </c:pt>
                <c:pt idx="4">
                  <c:v>24.046652996612419</c:v>
                </c:pt>
                <c:pt idx="5">
                  <c:v>24.057434180225087</c:v>
                </c:pt>
                <c:pt idx="6">
                  <c:v>24.066265207796437</c:v>
                </c:pt>
                <c:pt idx="7">
                  <c:v>24.073140047902356</c:v>
                </c:pt>
                <c:pt idx="8">
                  <c:v>24.078054004910747</c:v>
                </c:pt>
                <c:pt idx="9">
                  <c:v>24.081003722373961</c:v>
                </c:pt>
                <c:pt idx="10">
                  <c:v>24.081987185453244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B90-461A-9598-738DF0992CE2}"/>
            </c:ext>
          </c:extLst>
        </c:ser>
        <c:ser>
          <c:idx val="6"/>
          <c:order val="6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Wand!$A$2:$A$120</c:f>
              <c:numCache>
                <c:formatCode>General</c:formatCode>
                <c:ptCount val="119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Wand!$H$2:$H$120</c:f>
              <c:numCache>
                <c:formatCode>General</c:formatCode>
                <c:ptCount val="119"/>
                <c:pt idx="0">
                  <c:v>23.708360619683944</c:v>
                </c:pt>
                <c:pt idx="1">
                  <c:v>23.724221327123804</c:v>
                </c:pt>
                <c:pt idx="2">
                  <c:v>23.739161329101876</c:v>
                </c:pt>
                <c:pt idx="3">
                  <c:v>23.752367597426634</c:v>
                </c:pt>
                <c:pt idx="4">
                  <c:v>23.763831184568044</c:v>
                </c:pt>
                <c:pt idx="5">
                  <c:v>23.773544322618726</c:v>
                </c:pt>
                <c:pt idx="6">
                  <c:v>23.781500429020628</c:v>
                </c:pt>
                <c:pt idx="7">
                  <c:v>23.787694111416993</c:v>
                </c:pt>
                <c:pt idx="8">
                  <c:v>23.792121171626416</c:v>
                </c:pt>
                <c:pt idx="9">
                  <c:v>23.794778608736458</c:v>
                </c:pt>
                <c:pt idx="10">
                  <c:v>23.795664621314785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B90-461A-9598-738DF0992CE2}"/>
            </c:ext>
          </c:extLst>
        </c:ser>
        <c:ser>
          <c:idx val="7"/>
          <c:order val="7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Wand!$A$2:$A$120</c:f>
              <c:numCache>
                <c:formatCode>General</c:formatCode>
                <c:ptCount val="119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Wand!$I$2:$I$120</c:f>
              <c:numCache>
                <c:formatCode>General</c:formatCode>
                <c:ptCount val="119"/>
                <c:pt idx="0">
                  <c:v>23.458871047996713</c:v>
                </c:pt>
                <c:pt idx="1">
                  <c:v>23.473174723495049</c:v>
                </c:pt>
                <c:pt idx="2">
                  <c:v>23.486647965050306</c:v>
                </c:pt>
                <c:pt idx="3">
                  <c:v>23.498557464608954</c:v>
                </c:pt>
                <c:pt idx="4">
                  <c:v>23.508895235804385</c:v>
                </c:pt>
                <c:pt idx="5">
                  <c:v>23.517654345059984</c:v>
                </c:pt>
                <c:pt idx="6">
                  <c:v>23.524828916749236</c:v>
                </c:pt>
                <c:pt idx="7">
                  <c:v>23.530414137568076</c:v>
                </c:pt>
                <c:pt idx="8">
                  <c:v>23.534406260116519</c:v>
                </c:pt>
                <c:pt idx="9">
                  <c:v>23.536802605686962</c:v>
                </c:pt>
                <c:pt idx="10">
                  <c:v>23.537601566257226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B90-461A-9598-738DF0992CE2}"/>
            </c:ext>
          </c:extLst>
        </c:ser>
        <c:ser>
          <c:idx val="8"/>
          <c:order val="8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Wand!$A$2:$A$120</c:f>
              <c:numCache>
                <c:formatCode>General</c:formatCode>
                <c:ptCount val="119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Wand!$J$2:$J$120</c:f>
              <c:numCache>
                <c:formatCode>General</c:formatCode>
                <c:ptCount val="119"/>
                <c:pt idx="0">
                  <c:v>23.233685404178111</c:v>
                </c:pt>
                <c:pt idx="1">
                  <c:v>23.246599892492096</c:v>
                </c:pt>
                <c:pt idx="2">
                  <c:v>23.258764479652111</c:v>
                </c:pt>
                <c:pt idx="3">
                  <c:v>23.269516977759928</c:v>
                </c:pt>
                <c:pt idx="4">
                  <c:v>23.278850263454181</c:v>
                </c:pt>
                <c:pt idx="5">
                  <c:v>23.286758152357859</c:v>
                </c:pt>
                <c:pt idx="6">
                  <c:v>23.293235403698137</c:v>
                </c:pt>
                <c:pt idx="7">
                  <c:v>23.298277724221286</c:v>
                </c:pt>
                <c:pt idx="8">
                  <c:v>23.301881771399685</c:v>
                </c:pt>
                <c:pt idx="9">
                  <c:v>23.304045155928602</c:v>
                </c:pt>
                <c:pt idx="10">
                  <c:v>23.304766443510943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B90-461A-9598-738DF0992CE2}"/>
            </c:ext>
          </c:extLst>
        </c:ser>
        <c:ser>
          <c:idx val="9"/>
          <c:order val="9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</c:f>
              <c:numCache>
                <c:formatCode>General</c:formatCode>
                <c:ptCount val="11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Wand!$K$2:$K$12</c:f>
              <c:numCache>
                <c:formatCode>General</c:formatCode>
                <c:ptCount val="11"/>
                <c:pt idx="0">
                  <c:v>23.030175839508132</c:v>
                </c:pt>
                <c:pt idx="1">
                  <c:v>23.041851433723306</c:v>
                </c:pt>
                <c:pt idx="2">
                  <c:v>23.052848944783783</c:v>
                </c:pt>
                <c:pt idx="3">
                  <c:v>23.062569608865456</c:v>
                </c:pt>
                <c:pt idx="4">
                  <c:v>23.071007073733011</c:v>
                </c:pt>
                <c:pt idx="5">
                  <c:v>23.078155824483272</c:v>
                </c:pt>
                <c:pt idx="6">
                  <c:v>23.084011187666601</c:v>
                </c:pt>
                <c:pt idx="7">
                  <c:v>23.088569334779493</c:v>
                </c:pt>
                <c:pt idx="8">
                  <c:v>23.09182728512576</c:v>
                </c:pt>
                <c:pt idx="9">
                  <c:v>23.093782908044126</c:v>
                </c:pt>
                <c:pt idx="10">
                  <c:v>23.09443492450055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B90-461A-9598-738DF0992CE2}"/>
            </c:ext>
          </c:extLst>
        </c:ser>
        <c:ser>
          <c:idx val="10"/>
          <c:order val="10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</c:f>
              <c:numCache>
                <c:formatCode>General</c:formatCode>
                <c:ptCount val="11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Wand!$L$2:$L$12</c:f>
              <c:numCache>
                <c:formatCode>General</c:formatCode>
                <c:ptCount val="1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B90-461A-9598-738DF0992CE2}"/>
            </c:ext>
          </c:extLst>
        </c:ser>
        <c:ser>
          <c:idx val="11"/>
          <c:order val="11"/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</c:f>
              <c:numCache>
                <c:formatCode>General</c:formatCode>
                <c:ptCount val="11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Wand!$M$2:$M$12</c:f>
              <c:numCache>
                <c:formatCode>General</c:formatCode>
                <c:ptCount val="1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B90-461A-9598-738DF0992CE2}"/>
            </c:ext>
          </c:extLst>
        </c:ser>
        <c:ser>
          <c:idx val="12"/>
          <c:order val="12"/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</c:f>
              <c:numCache>
                <c:formatCode>General</c:formatCode>
                <c:ptCount val="11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Wand!$N$2:$N$12</c:f>
              <c:numCache>
                <c:formatCode>General</c:formatCode>
                <c:ptCount val="1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B90-461A-9598-738DF0992CE2}"/>
            </c:ext>
          </c:extLst>
        </c:ser>
        <c:ser>
          <c:idx val="13"/>
          <c:order val="13"/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</c:f>
              <c:numCache>
                <c:formatCode>General</c:formatCode>
                <c:ptCount val="11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Wand!$O$2:$O$12</c:f>
              <c:numCache>
                <c:formatCode>General</c:formatCode>
                <c:ptCount val="1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5B90-461A-9598-738DF0992CE2}"/>
            </c:ext>
          </c:extLst>
        </c:ser>
        <c:ser>
          <c:idx val="14"/>
          <c:order val="14"/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</c:f>
              <c:numCache>
                <c:formatCode>General</c:formatCode>
                <c:ptCount val="11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Wand!$P$2:$P$12</c:f>
              <c:numCache>
                <c:formatCode>General</c:formatCode>
                <c:ptCount val="1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B90-461A-9598-738DF0992CE2}"/>
            </c:ext>
          </c:extLst>
        </c:ser>
        <c:ser>
          <c:idx val="15"/>
          <c:order val="15"/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</c:f>
              <c:numCache>
                <c:formatCode>General</c:formatCode>
                <c:ptCount val="11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Wand!$Q$2:$Q$12</c:f>
              <c:numCache>
                <c:formatCode>General</c:formatCode>
                <c:ptCount val="1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5B90-461A-9598-738DF0992CE2}"/>
            </c:ext>
          </c:extLst>
        </c:ser>
        <c:ser>
          <c:idx val="16"/>
          <c:order val="16"/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</c:f>
              <c:numCache>
                <c:formatCode>General</c:formatCode>
                <c:ptCount val="11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Wand!$R$2:$R$12</c:f>
              <c:numCache>
                <c:formatCode>General</c:formatCode>
                <c:ptCount val="1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5B90-461A-9598-738DF0992CE2}"/>
            </c:ext>
          </c:extLst>
        </c:ser>
        <c:ser>
          <c:idx val="17"/>
          <c:order val="17"/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</c:f>
              <c:numCache>
                <c:formatCode>General</c:formatCode>
                <c:ptCount val="11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Wand!$S$2:$S$12</c:f>
              <c:numCache>
                <c:formatCode>General</c:formatCode>
                <c:ptCount val="1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B90-461A-9598-738DF0992CE2}"/>
            </c:ext>
          </c:extLst>
        </c:ser>
        <c:ser>
          <c:idx val="18"/>
          <c:order val="18"/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Wand!$A$2:$A$12</c:f>
              <c:numCache>
                <c:formatCode>General</c:formatCode>
                <c:ptCount val="11"/>
                <c:pt idx="0">
                  <c:v>0</c:v>
                </c:pt>
                <c:pt idx="1">
                  <c:v>4.0000000000000001E-3</c:v>
                </c:pt>
                <c:pt idx="2">
                  <c:v>8.0000000000000002E-3</c:v>
                </c:pt>
                <c:pt idx="3">
                  <c:v>1.2E-2</c:v>
                </c:pt>
                <c:pt idx="4">
                  <c:v>1.6E-2</c:v>
                </c:pt>
                <c:pt idx="5">
                  <c:v>0.02</c:v>
                </c:pt>
                <c:pt idx="6">
                  <c:v>2.4E-2</c:v>
                </c:pt>
                <c:pt idx="7">
                  <c:v>2.8000000000000001E-2</c:v>
                </c:pt>
                <c:pt idx="8">
                  <c:v>3.2000000000000001E-2</c:v>
                </c:pt>
                <c:pt idx="9">
                  <c:v>3.6000000000000004E-2</c:v>
                </c:pt>
                <c:pt idx="10">
                  <c:v>0.04</c:v>
                </c:pt>
              </c:numCache>
            </c:numRef>
          </c:xVal>
          <c:yVal>
            <c:numRef>
              <c:f>Wand!$T$2:$T$12</c:f>
              <c:numCache>
                <c:formatCode>General</c:formatCode>
                <c:ptCount val="1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5B90-461A-9598-738DF0992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582448"/>
        <c:axId val="117587440"/>
      </c:scatterChart>
      <c:valAx>
        <c:axId val="117582448"/>
        <c:scaling>
          <c:orientation val="minMax"/>
          <c:max val="4.0000000000000008E-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Distanz von der Oberfläche   m</a:t>
                </a:r>
              </a:p>
            </c:rich>
          </c:tx>
          <c:layout>
            <c:manualLayout>
              <c:xMode val="edge"/>
              <c:yMode val="edge"/>
              <c:x val="0.35721011904761907"/>
              <c:y val="0.9269798029664083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7587440"/>
        <c:crosses val="autoZero"/>
        <c:crossBetween val="midCat"/>
      </c:valAx>
      <c:valAx>
        <c:axId val="117587440"/>
        <c:scaling>
          <c:orientation val="minMax"/>
          <c:max val="26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CH"/>
                  <a:t>Temp. Boden+Wände °C</a:t>
                </a:r>
              </a:p>
            </c:rich>
          </c:tx>
          <c:layout>
            <c:manualLayout>
              <c:xMode val="edge"/>
              <c:yMode val="edge"/>
              <c:x val="2.5197497660715044E-3"/>
              <c:y val="5.220518565194052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7582448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167460317460317"/>
          <c:y val="2.5210256653354034E-2"/>
          <c:w val="0.81853968253968257"/>
          <c:h val="0.80166394656240603"/>
        </c:manualLayout>
      </c:layout>
      <c:scatterChart>
        <c:scatterStyle val="smoothMarker"/>
        <c:varyColors val="0"/>
        <c:ser>
          <c:idx val="0"/>
          <c:order val="0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Decke!$A$2:$A$120</c:f>
              <c:numCache>
                <c:formatCode>General</c:formatCode>
                <c:ptCount val="119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Decke!$B$2:$B$120</c:f>
              <c:numCache>
                <c:formatCode>General</c:formatCode>
                <c:ptCount val="119"/>
                <c:pt idx="0">
                  <c:v>26</c:v>
                </c:pt>
                <c:pt idx="1">
                  <c:v>26</c:v>
                </c:pt>
                <c:pt idx="2">
                  <c:v>26</c:v>
                </c:pt>
                <c:pt idx="3">
                  <c:v>26</c:v>
                </c:pt>
                <c:pt idx="4">
                  <c:v>26</c:v>
                </c:pt>
                <c:pt idx="5">
                  <c:v>26</c:v>
                </c:pt>
                <c:pt idx="6">
                  <c:v>26</c:v>
                </c:pt>
                <c:pt idx="7">
                  <c:v>26</c:v>
                </c:pt>
                <c:pt idx="8">
                  <c:v>26</c:v>
                </c:pt>
                <c:pt idx="9">
                  <c:v>26</c:v>
                </c:pt>
                <c:pt idx="10">
                  <c:v>26</c:v>
                </c:pt>
                <c:pt idx="11">
                  <c:v>26</c:v>
                </c:pt>
                <c:pt idx="12">
                  <c:v>26</c:v>
                </c:pt>
                <c:pt idx="13">
                  <c:v>26</c:v>
                </c:pt>
                <c:pt idx="14">
                  <c:v>26</c:v>
                </c:pt>
                <c:pt idx="15">
                  <c:v>26</c:v>
                </c:pt>
                <c:pt idx="16">
                  <c:v>26</c:v>
                </c:pt>
                <c:pt idx="17">
                  <c:v>26</c:v>
                </c:pt>
                <c:pt idx="18">
                  <c:v>26</c:v>
                </c:pt>
                <c:pt idx="19">
                  <c:v>26</c:v>
                </c:pt>
                <c:pt idx="20">
                  <c:v>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D0-4030-ADDC-5AA535BE0311}"/>
            </c:ext>
          </c:extLst>
        </c:ser>
        <c:ser>
          <c:idx val="1"/>
          <c:order val="1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Decke!$A$2:$A$120</c:f>
              <c:numCache>
                <c:formatCode>General</c:formatCode>
                <c:ptCount val="119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Decke!$C$2:$C$120</c:f>
              <c:numCache>
                <c:formatCode>General</c:formatCode>
                <c:ptCount val="119"/>
                <c:pt idx="0">
                  <c:v>25.483364983327302</c:v>
                </c:pt>
                <c:pt idx="1">
                  <c:v>25.569988824624421</c:v>
                </c:pt>
                <c:pt idx="2">
                  <c:v>25.647090784834887</c:v>
                </c:pt>
                <c:pt idx="3">
                  <c:v>25.714140208498485</c:v>
                </c:pt>
                <c:pt idx="4">
                  <c:v>25.771572223060538</c:v>
                </c:pt>
                <c:pt idx="5">
                  <c:v>25.820003877950374</c:v>
                </c:pt>
                <c:pt idx="6">
                  <c:v>25.8601951620821</c:v>
                </c:pt>
                <c:pt idx="7">
                  <c:v>25.893004314837743</c:v>
                </c:pt>
                <c:pt idx="8">
                  <c:v>25.919341652224727</c:v>
                </c:pt>
                <c:pt idx="9">
                  <c:v>25.94012582201956</c:v>
                </c:pt>
                <c:pt idx="10">
                  <c:v>25.956245657695579</c:v>
                </c:pt>
                <c:pt idx="11">
                  <c:v>25.968529779213601</c:v>
                </c:pt>
                <c:pt idx="12">
                  <c:v>25.97772496823081</c:v>
                </c:pt>
                <c:pt idx="13">
                  <c:v>25.984483290979622</c:v>
                </c:pt>
                <c:pt idx="14">
                  <c:v>25.989357079084233</c:v>
                </c:pt>
                <c:pt idx="15">
                  <c:v>25.992800278383076</c:v>
                </c:pt>
                <c:pt idx="16">
                  <c:v>25.995174355449524</c:v>
                </c:pt>
                <c:pt idx="17">
                  <c:v>25.996756883308382</c:v>
                </c:pt>
                <c:pt idx="18">
                  <c:v>25.997751055624278</c:v>
                </c:pt>
                <c:pt idx="19">
                  <c:v>25.998294635464173</c:v>
                </c:pt>
                <c:pt idx="20">
                  <c:v>25.998467168568077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D0-4030-ADDC-5AA535BE0311}"/>
            </c:ext>
          </c:extLst>
        </c:ser>
        <c:ser>
          <c:idx val="2"/>
          <c:order val="2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Decke!$A$2:$A$120</c:f>
              <c:numCache>
                <c:formatCode>General</c:formatCode>
                <c:ptCount val="119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Decke!$D$2:$D$120</c:f>
              <c:numCache>
                <c:formatCode>General</c:formatCode>
                <c:ptCount val="119"/>
                <c:pt idx="0">
                  <c:v>25.281017656986876</c:v>
                </c:pt>
                <c:pt idx="1">
                  <c:v>25.367688288781672</c:v>
                </c:pt>
                <c:pt idx="2">
                  <c:v>25.447731500967087</c:v>
                </c:pt>
                <c:pt idx="3">
                  <c:v>25.520692445400893</c:v>
                </c:pt>
                <c:pt idx="4">
                  <c:v>25.586714214069879</c:v>
                </c:pt>
                <c:pt idx="5">
                  <c:v>25.646008612474464</c:v>
                </c:pt>
                <c:pt idx="6">
                  <c:v>25.698849138596387</c:v>
                </c:pt>
                <c:pt idx="7">
                  <c:v>25.745562099158647</c:v>
                </c:pt>
                <c:pt idx="8">
                  <c:v>25.786516279457526</c:v>
                </c:pt>
                <c:pt idx="9">
                  <c:v>25.82211162579717</c:v>
                </c:pt>
                <c:pt idx="10">
                  <c:v>25.852767410539418</c:v>
                </c:pt>
                <c:pt idx="11">
                  <c:v>25.87891033061813</c:v>
                </c:pt>
                <c:pt idx="12">
                  <c:v>25.900962945275285</c:v>
                </c:pt>
                <c:pt idx="13">
                  <c:v>25.91933279401615</c:v>
                </c:pt>
                <c:pt idx="14">
                  <c:v>25.934402458923106</c:v>
                </c:pt>
                <c:pt idx="15">
                  <c:v>25.946520754572241</c:v>
                </c:pt>
                <c:pt idx="16">
                  <c:v>25.955995151584187</c:v>
                </c:pt>
                <c:pt idx="17">
                  <c:v>25.963085472956006</c:v>
                </c:pt>
                <c:pt idx="18">
                  <c:v>25.96799885073878</c:v>
                </c:pt>
                <c:pt idx="19">
                  <c:v>25.97088589726236</c:v>
                </c:pt>
                <c:pt idx="20">
                  <c:v>25.971838030645301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D0-4030-ADDC-5AA535BE0311}"/>
            </c:ext>
          </c:extLst>
        </c:ser>
        <c:ser>
          <c:idx val="3"/>
          <c:order val="3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Decke!$A$2:$A$120</c:f>
              <c:numCache>
                <c:formatCode>General</c:formatCode>
                <c:ptCount val="119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Decke!$E$2:$E$120</c:f>
              <c:numCache>
                <c:formatCode>General</c:formatCode>
                <c:ptCount val="119"/>
                <c:pt idx="0">
                  <c:v>25.126733614846327</c:v>
                </c:pt>
                <c:pt idx="1">
                  <c:v>25.21338608832696</c:v>
                </c:pt>
                <c:pt idx="2">
                  <c:v>25.294604537845977</c:v>
                </c:pt>
                <c:pt idx="3">
                  <c:v>25.36999247740539</c:v>
                </c:pt>
                <c:pt idx="4">
                  <c:v>25.439619791157547</c:v>
                </c:pt>
                <c:pt idx="5">
                  <c:v>25.503590820824247</c:v>
                </c:pt>
                <c:pt idx="6">
                  <c:v>25.562041470708262</c:v>
                </c:pt>
                <c:pt idx="7">
                  <c:v>25.615135481777834</c:v>
                </c:pt>
                <c:pt idx="8">
                  <c:v>25.663059982825999</c:v>
                </c:pt>
                <c:pt idx="9">
                  <c:v>25.706020447161546</c:v>
                </c:pt>
                <c:pt idx="10">
                  <c:v>25.74423519864564</c:v>
                </c:pt>
                <c:pt idx="11">
                  <c:v>25.777929620854326</c:v>
                </c:pt>
                <c:pt idx="12">
                  <c:v>25.807330227729569</c:v>
                </c:pt>
                <c:pt idx="13">
                  <c:v>25.832658753558313</c:v>
                </c:pt>
                <c:pt idx="14">
                  <c:v>25.854126414990418</c:v>
                </c:pt>
                <c:pt idx="15">
                  <c:v>25.871928488732006</c:v>
                </c:pt>
                <c:pt idx="16">
                  <c:v>25.886239336278255</c:v>
                </c:pt>
                <c:pt idx="17">
                  <c:v>25.897207992344004</c:v>
                </c:pt>
                <c:pt idx="18">
                  <c:v>25.904954417229128</c:v>
                </c:pt>
                <c:pt idx="19">
                  <c:v>25.909566495836973</c:v>
                </c:pt>
                <c:pt idx="20">
                  <c:v>25.911097847934197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D0-4030-ADDC-5AA535BE0311}"/>
            </c:ext>
          </c:extLst>
        </c:ser>
        <c:ser>
          <c:idx val="4"/>
          <c:order val="4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Decke!$A$2:$A$120</c:f>
              <c:numCache>
                <c:formatCode>General</c:formatCode>
                <c:ptCount val="119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Decke!$F$2:$F$120</c:f>
              <c:numCache>
                <c:formatCode>General</c:formatCode>
                <c:ptCount val="119"/>
                <c:pt idx="0">
                  <c:v>24.99502650719301</c:v>
                </c:pt>
                <c:pt idx="1">
                  <c:v>25.081609303678782</c:v>
                </c:pt>
                <c:pt idx="2">
                  <c:v>25.163381128310331</c:v>
                </c:pt>
                <c:pt idx="3">
                  <c:v>25.239975690910622</c:v>
                </c:pt>
                <c:pt idx="4">
                  <c:v>25.311426967095123</c:v>
                </c:pt>
                <c:pt idx="5">
                  <c:v>25.377787740383663</c:v>
                </c:pt>
                <c:pt idx="6">
                  <c:v>25.4391280189894</c:v>
                </c:pt>
                <c:pt idx="7">
                  <c:v>25.495533037303453</c:v>
                </c:pt>
                <c:pt idx="8">
                  <c:v>25.547100889682326</c:v>
                </c:pt>
                <c:pt idx="9">
                  <c:v>25.593939854505347</c:v>
                </c:pt>
                <c:pt idx="10">
                  <c:v>25.636165475149674</c:v>
                </c:pt>
                <c:pt idx="11">
                  <c:v>25.673897471302688</c:v>
                </c:pt>
                <c:pt idx="12">
                  <c:v>25.707256558733643</c:v>
                </c:pt>
                <c:pt idx="13">
                  <c:v>25.736361258182136</c:v>
                </c:pt>
                <c:pt idx="14">
                  <c:v>25.761324774362016</c:v>
                </c:pt>
                <c:pt idx="15">
                  <c:v>25.782252024258668</c:v>
                </c:pt>
                <c:pt idx="16">
                  <c:v>25.79923689000692</c:v>
                </c:pt>
                <c:pt idx="17">
                  <c:v>25.812359765816709</c:v>
                </c:pt>
                <c:pt idx="18">
                  <c:v>25.821685460848116</c:v>
                </c:pt>
                <c:pt idx="19">
                  <c:v>25.827261510845158</c:v>
                </c:pt>
                <c:pt idx="20">
                  <c:v>25.829116940964301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D0-4030-ADDC-5AA535BE0311}"/>
            </c:ext>
          </c:extLst>
        </c:ser>
        <c:ser>
          <c:idx val="5"/>
          <c:order val="5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Decke!$A$2:$A$120</c:f>
              <c:numCache>
                <c:formatCode>General</c:formatCode>
                <c:ptCount val="119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Decke!$G$2:$G$120</c:f>
              <c:numCache>
                <c:formatCode>General</c:formatCode>
                <c:ptCount val="119"/>
                <c:pt idx="0">
                  <c:v>24.875690327572762</c:v>
                </c:pt>
                <c:pt idx="1">
                  <c:v>24.962086729663262</c:v>
                </c:pt>
                <c:pt idx="2">
                  <c:v>25.044025450182861</c:v>
                </c:pt>
                <c:pt idx="3">
                  <c:v>25.121155104365304</c:v>
                </c:pt>
                <c:pt idx="4">
                  <c:v>25.193487891437318</c:v>
                </c:pt>
                <c:pt idx="5">
                  <c:v>25.26104695023087</c:v>
                </c:pt>
                <c:pt idx="6">
                  <c:v>25.323865404301031</c:v>
                </c:pt>
                <c:pt idx="7">
                  <c:v>25.381985196246838</c:v>
                </c:pt>
                <c:pt idx="8">
                  <c:v>25.43545573593693</c:v>
                </c:pt>
                <c:pt idx="9">
                  <c:v>25.484332392670197</c:v>
                </c:pt>
                <c:pt idx="10">
                  <c:v>25.528674865838862</c:v>
                </c:pt>
                <c:pt idx="11">
                  <c:v>25.568545472283358</c:v>
                </c:pt>
                <c:pt idx="12">
                  <c:v>25.604007391135266</c:v>
                </c:pt>
                <c:pt idx="13">
                  <c:v>25.635122908467142</c:v>
                </c:pt>
                <c:pt idx="14">
                  <c:v>25.661951704465224</c:v>
                </c:pt>
                <c:pt idx="15">
                  <c:v>25.684549225103744</c:v>
                </c:pt>
                <c:pt idx="16">
                  <c:v>25.702965178449297</c:v>
                </c:pt>
                <c:pt idx="17">
                  <c:v>25.717242192810751</c:v>
                </c:pt>
                <c:pt idx="18">
                  <c:v>25.727414670054472</c:v>
                </c:pt>
                <c:pt idx="19">
                  <c:v>25.733507862629711</c:v>
                </c:pt>
                <c:pt idx="20">
                  <c:v>25.735537197323065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ED0-4030-ADDC-5AA535BE0311}"/>
            </c:ext>
          </c:extLst>
        </c:ser>
        <c:ser>
          <c:idx val="6"/>
          <c:order val="6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Decke!$A$2:$A$120</c:f>
              <c:numCache>
                <c:formatCode>General</c:formatCode>
                <c:ptCount val="119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Decke!$H$2:$H$120</c:f>
              <c:numCache>
                <c:formatCode>General</c:formatCode>
                <c:ptCount val="119"/>
                <c:pt idx="0">
                  <c:v>24.763687475844421</c:v>
                </c:pt>
                <c:pt idx="1">
                  <c:v>24.84975323239453</c:v>
                </c:pt>
                <c:pt idx="2">
                  <c:v>24.931577468284999</c:v>
                </c:pt>
                <c:pt idx="3">
                  <c:v>25.008816175259842</c:v>
                </c:pt>
                <c:pt idx="4">
                  <c:v>25.081467102133455</c:v>
                </c:pt>
                <c:pt idx="5">
                  <c:v>25.149534932968376</c:v>
                </c:pt>
                <c:pt idx="6">
                  <c:v>25.213030670759267</c:v>
                </c:pt>
                <c:pt idx="7">
                  <c:v>25.271970914967568</c:v>
                </c:pt>
                <c:pt idx="8">
                  <c:v>25.326377046374557</c:v>
                </c:pt>
                <c:pt idx="9">
                  <c:v>25.376274335458422</c:v>
                </c:pt>
                <c:pt idx="10">
                  <c:v>25.421690992831348</c:v>
                </c:pt>
                <c:pt idx="11">
                  <c:v>25.462657182131945</c:v>
                </c:pt>
                <c:pt idx="12">
                  <c:v>25.499204017102649</c:v>
                </c:pt>
                <c:pt idx="13">
                  <c:v>25.531362565354126</c:v>
                </c:pt>
                <c:pt idx="14">
                  <c:v>25.559162881505564</c:v>
                </c:pt>
                <c:pt idx="15">
                  <c:v>25.582633091983958</c:v>
                </c:pt>
                <c:pt idx="16">
                  <c:v>25.601798552776525</c:v>
                </c:pt>
                <c:pt idx="17">
                  <c:v>25.616681099882669</c:v>
                </c:pt>
                <c:pt idx="18">
                  <c:v>25.627298410144782</c:v>
                </c:pt>
                <c:pt idx="19">
                  <c:v>25.63366348760561</c:v>
                </c:pt>
                <c:pt idx="20">
                  <c:v>25.635784287608693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5ED0-4030-ADDC-5AA535BE0311}"/>
            </c:ext>
          </c:extLst>
        </c:ser>
        <c:ser>
          <c:idx val="7"/>
          <c:order val="7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Decke!$A$2:$A$120</c:f>
              <c:numCache>
                <c:formatCode>General</c:formatCode>
                <c:ptCount val="119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Decke!$I$2:$I$120</c:f>
              <c:numCache>
                <c:formatCode>General</c:formatCode>
                <c:ptCount val="119"/>
                <c:pt idx="0">
                  <c:v>24.656428266080916</c:v>
                </c:pt>
                <c:pt idx="1">
                  <c:v>24.742015786602998</c:v>
                </c:pt>
                <c:pt idx="2">
                  <c:v>24.823507478854054</c:v>
                </c:pt>
                <c:pt idx="3">
                  <c:v>24.900563245026365</c:v>
                </c:pt>
                <c:pt idx="4">
                  <c:v>24.973170579738191</c:v>
                </c:pt>
                <c:pt idx="5">
                  <c:v>25.041321888870122</c:v>
                </c:pt>
                <c:pt idx="6">
                  <c:v>25.10501406514507</c:v>
                </c:pt>
                <c:pt idx="7">
                  <c:v>25.164248011275347</c:v>
                </c:pt>
                <c:pt idx="8">
                  <c:v>25.219028118296176</c:v>
                </c:pt>
                <c:pt idx="9">
                  <c:v>25.269361708101883</c:v>
                </c:pt>
                <c:pt idx="10">
                  <c:v>25.315258450384476</c:v>
                </c:pt>
                <c:pt idx="11">
                  <c:v>25.356729765110202</c:v>
                </c:pt>
                <c:pt idx="12">
                  <c:v>25.393788222331207</c:v>
                </c:pt>
                <c:pt idx="13">
                  <c:v>25.426446951496555</c:v>
                </c:pt>
                <c:pt idx="14">
                  <c:v>25.454719072487812</c:v>
                </c:pt>
                <c:pt idx="15">
                  <c:v>25.478617160355292</c:v>
                </c:pt>
                <c:pt idx="16">
                  <c:v>25.49815275517679</c:v>
                </c:pt>
                <c:pt idx="17">
                  <c:v>25.513335927613923</c:v>
                </c:pt>
                <c:pt idx="18">
                  <c:v>25.524174909622854</c:v>
                </c:pt>
                <c:pt idx="19">
                  <c:v>25.530675798414155</c:v>
                </c:pt>
                <c:pt idx="20">
                  <c:v>25.532842340185859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5ED0-4030-ADDC-5AA535BE0311}"/>
            </c:ext>
          </c:extLst>
        </c:ser>
        <c:ser>
          <c:idx val="8"/>
          <c:order val="8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Decke!$A$2:$A$120</c:f>
              <c:numCache>
                <c:formatCode>General</c:formatCode>
                <c:ptCount val="119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Decke!$J$2:$J$120</c:f>
              <c:numCache>
                <c:formatCode>General</c:formatCode>
                <c:ptCount val="119"/>
                <c:pt idx="0">
                  <c:v>24.552570879774297</c:v>
                </c:pt>
                <c:pt idx="1">
                  <c:v>24.637541016103871</c:v>
                </c:pt>
                <c:pt idx="2">
                  <c:v>24.718524829252047</c:v>
                </c:pt>
                <c:pt idx="3">
                  <c:v>24.79518472517551</c:v>
                </c:pt>
                <c:pt idx="4">
                  <c:v>24.86750050604066</c:v>
                </c:pt>
                <c:pt idx="5">
                  <c:v>24.935455878054501</c:v>
                </c:pt>
                <c:pt idx="6">
                  <c:v>24.999038141400071</c:v>
                </c:pt>
                <c:pt idx="7">
                  <c:v>25.058237855146483</c:v>
                </c:pt>
                <c:pt idx="8">
                  <c:v>25.113048481649685</c:v>
                </c:pt>
                <c:pt idx="9">
                  <c:v>25.163466015663602</c:v>
                </c:pt>
                <c:pt idx="10">
                  <c:v>25.209488603971781</c:v>
                </c:pt>
                <c:pt idx="11">
                  <c:v>25.251116161808753</c:v>
                </c:pt>
                <c:pt idx="12">
                  <c:v>25.288349992654588</c:v>
                </c:pt>
                <c:pt idx="13">
                  <c:v>25.321192418145433</c:v>
                </c:pt>
                <c:pt idx="14">
                  <c:v>25.349646424840568</c:v>
                </c:pt>
                <c:pt idx="15">
                  <c:v>25.373715334421789</c:v>
                </c:pt>
                <c:pt idx="16">
                  <c:v>25.393402503575494</c:v>
                </c:pt>
                <c:pt idx="17">
                  <c:v>25.408711059329146</c:v>
                </c:pt>
                <c:pt idx="18">
                  <c:v>25.419643674992528</c:v>
                </c:pt>
                <c:pt idx="19">
                  <c:v>25.426202391105043</c:v>
                </c:pt>
                <c:pt idx="20">
                  <c:v>25.428388484931908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5ED0-4030-ADDC-5AA535BE0311}"/>
            </c:ext>
          </c:extLst>
        </c:ser>
        <c:ser>
          <c:idx val="9"/>
          <c:order val="9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Decke!$A$2:$A$42</c:f>
              <c:numCache>
                <c:formatCode>General</c:formatCode>
                <c:ptCount val="41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Decke!$K$2:$K$42</c:f>
              <c:numCache>
                <c:formatCode>General</c:formatCode>
                <c:ptCount val="41"/>
                <c:pt idx="0">
                  <c:v>24.451417188210467</c:v>
                </c:pt>
                <c:pt idx="1">
                  <c:v>24.535644229131044</c:v>
                </c:pt>
                <c:pt idx="2">
                  <c:v>24.615975914166871</c:v>
                </c:pt>
                <c:pt idx="3">
                  <c:v>24.692076764125666</c:v>
                </c:pt>
                <c:pt idx="4">
                  <c:v>24.763920561051162</c:v>
                </c:pt>
                <c:pt idx="5">
                  <c:v>24.83148450257244</c:v>
                </c:pt>
                <c:pt idx="6">
                  <c:v>24.89474896428553</c:v>
                </c:pt>
                <c:pt idx="7">
                  <c:v>24.953697250918836</c:v>
                </c:pt>
                <c:pt idx="8">
                  <c:v>25.008315339123151</c:v>
                </c:pt>
                <c:pt idx="9">
                  <c:v>25.05859161507356</c:v>
                </c:pt>
                <c:pt idx="10">
                  <c:v>25.104516610355361</c:v>
                </c:pt>
                <c:pt idx="11">
                  <c:v>25.146082739821026</c:v>
                </c:pt>
                <c:pt idx="12">
                  <c:v>25.183284045242374</c:v>
                </c:pt>
                <c:pt idx="13">
                  <c:v>25.216115948636752</c:v>
                </c:pt>
                <c:pt idx="14">
                  <c:v>25.244575019115068</c:v>
                </c:pt>
                <c:pt idx="15">
                  <c:v>25.268658756982251</c:v>
                </c:pt>
                <c:pt idx="16">
                  <c:v>25.288365398618392</c:v>
                </c:pt>
                <c:pt idx="17">
                  <c:v>25.303693745385662</c:v>
                </c:pt>
                <c:pt idx="18">
                  <c:v>25.314643019447271</c:v>
                </c:pt>
                <c:pt idx="19">
                  <c:v>25.321212748959038</c:v>
                </c:pt>
                <c:pt idx="20">
                  <c:v>25.323402684610095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5ED0-4030-ADDC-5AA535BE0311}"/>
            </c:ext>
          </c:extLst>
        </c:ser>
        <c:ser>
          <c:idx val="10"/>
          <c:order val="10"/>
          <c:spPr>
            <a:ln w="12700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Decke!$A$2:$A$42</c:f>
              <c:numCache>
                <c:formatCode>General</c:formatCode>
                <c:ptCount val="41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Decke!$L$2:$L$42</c:f>
              <c:numCache>
                <c:formatCode>General</c:formatCode>
                <c:ptCount val="4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5ED0-4030-ADDC-5AA535BE0311}"/>
            </c:ext>
          </c:extLst>
        </c:ser>
        <c:ser>
          <c:idx val="11"/>
          <c:order val="11"/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Decke!$A$2:$A$42</c:f>
              <c:numCache>
                <c:formatCode>General</c:formatCode>
                <c:ptCount val="41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Decke!$M$2:$M$42</c:f>
              <c:numCache>
                <c:formatCode>General</c:formatCode>
                <c:ptCount val="4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5ED0-4030-ADDC-5AA535BE0311}"/>
            </c:ext>
          </c:extLst>
        </c:ser>
        <c:ser>
          <c:idx val="12"/>
          <c:order val="12"/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Decke!$A$2:$A$42</c:f>
              <c:numCache>
                <c:formatCode>General</c:formatCode>
                <c:ptCount val="41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Decke!$N$2:$N$42</c:f>
              <c:numCache>
                <c:formatCode>General</c:formatCode>
                <c:ptCount val="4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5ED0-4030-ADDC-5AA535BE0311}"/>
            </c:ext>
          </c:extLst>
        </c:ser>
        <c:ser>
          <c:idx val="13"/>
          <c:order val="13"/>
          <c:spPr>
            <a:ln w="19050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Decke!$A$2:$A$42</c:f>
              <c:numCache>
                <c:formatCode>General</c:formatCode>
                <c:ptCount val="41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Decke!$O$2:$O$42</c:f>
              <c:numCache>
                <c:formatCode>General</c:formatCode>
                <c:ptCount val="4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5ED0-4030-ADDC-5AA535BE0311}"/>
            </c:ext>
          </c:extLst>
        </c:ser>
        <c:ser>
          <c:idx val="14"/>
          <c:order val="14"/>
          <c:spPr>
            <a:ln w="19050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Decke!$A$2:$A$42</c:f>
              <c:numCache>
                <c:formatCode>General</c:formatCode>
                <c:ptCount val="41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Decke!$P$2:$P$42</c:f>
              <c:numCache>
                <c:formatCode>General</c:formatCode>
                <c:ptCount val="4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5ED0-4030-ADDC-5AA535BE0311}"/>
            </c:ext>
          </c:extLst>
        </c:ser>
        <c:ser>
          <c:idx val="15"/>
          <c:order val="15"/>
          <c:spPr>
            <a:ln w="19050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Decke!$A$2:$A$42</c:f>
              <c:numCache>
                <c:formatCode>General</c:formatCode>
                <c:ptCount val="41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Decke!$Q$2:$Q$42</c:f>
              <c:numCache>
                <c:formatCode>General</c:formatCode>
                <c:ptCount val="4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F-5ED0-4030-ADDC-5AA535BE0311}"/>
            </c:ext>
          </c:extLst>
        </c:ser>
        <c:ser>
          <c:idx val="16"/>
          <c:order val="16"/>
          <c:spPr>
            <a:ln w="19050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Decke!$A$2:$A$42</c:f>
              <c:numCache>
                <c:formatCode>General</c:formatCode>
                <c:ptCount val="41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Decke!$R$2:$R$42</c:f>
              <c:numCache>
                <c:formatCode>General</c:formatCode>
                <c:ptCount val="4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0-5ED0-4030-ADDC-5AA535BE0311}"/>
            </c:ext>
          </c:extLst>
        </c:ser>
        <c:ser>
          <c:idx val="17"/>
          <c:order val="17"/>
          <c:spPr>
            <a:ln w="19050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Decke!$A$2:$A$42</c:f>
              <c:numCache>
                <c:formatCode>General</c:formatCode>
                <c:ptCount val="41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Decke!$S$2:$S$42</c:f>
              <c:numCache>
                <c:formatCode>General</c:formatCode>
                <c:ptCount val="4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1-5ED0-4030-ADDC-5AA535BE0311}"/>
            </c:ext>
          </c:extLst>
        </c:ser>
        <c:ser>
          <c:idx val="18"/>
          <c:order val="18"/>
          <c:spPr>
            <a:ln w="19050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Decke!$A$2:$A$42</c:f>
              <c:numCache>
                <c:formatCode>General</c:formatCode>
                <c:ptCount val="41"/>
                <c:pt idx="0">
                  <c:v>0</c:v>
                </c:pt>
                <c:pt idx="1">
                  <c:v>1.2500000000000001E-2</c:v>
                </c:pt>
                <c:pt idx="2">
                  <c:v>2.5000000000000001E-2</c:v>
                </c:pt>
                <c:pt idx="3">
                  <c:v>3.7500000000000006E-2</c:v>
                </c:pt>
                <c:pt idx="4">
                  <c:v>0.05</c:v>
                </c:pt>
                <c:pt idx="5">
                  <c:v>6.25E-2</c:v>
                </c:pt>
                <c:pt idx="6">
                  <c:v>7.5000000000000011E-2</c:v>
                </c:pt>
                <c:pt idx="7">
                  <c:v>8.7500000000000008E-2</c:v>
                </c:pt>
                <c:pt idx="8">
                  <c:v>0.1</c:v>
                </c:pt>
                <c:pt idx="9">
                  <c:v>0.1125</c:v>
                </c:pt>
                <c:pt idx="10">
                  <c:v>0.125</c:v>
                </c:pt>
                <c:pt idx="11">
                  <c:v>0.13750000000000001</c:v>
                </c:pt>
                <c:pt idx="12">
                  <c:v>0.15000000000000002</c:v>
                </c:pt>
                <c:pt idx="13">
                  <c:v>0.16250000000000001</c:v>
                </c:pt>
                <c:pt idx="14">
                  <c:v>0.17500000000000002</c:v>
                </c:pt>
                <c:pt idx="15">
                  <c:v>0.1875</c:v>
                </c:pt>
                <c:pt idx="16">
                  <c:v>0.2</c:v>
                </c:pt>
                <c:pt idx="17">
                  <c:v>0.21250000000000002</c:v>
                </c:pt>
                <c:pt idx="18">
                  <c:v>0.22500000000000001</c:v>
                </c:pt>
                <c:pt idx="19">
                  <c:v>0.23750000000000002</c:v>
                </c:pt>
                <c:pt idx="20">
                  <c:v>0.25</c:v>
                </c:pt>
              </c:numCache>
            </c:numRef>
          </c:xVal>
          <c:yVal>
            <c:numRef>
              <c:f>Decke!$T$2:$T$42</c:f>
              <c:numCache>
                <c:formatCode>General</c:formatCode>
                <c:ptCount val="4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2-5ED0-4030-ADDC-5AA535BE03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582448"/>
        <c:axId val="117587440"/>
      </c:scatterChart>
      <c:valAx>
        <c:axId val="117582448"/>
        <c:scaling>
          <c:orientation val="minMax"/>
          <c:max val="0.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Distanz von der Oberfläche   m</a:t>
                </a:r>
              </a:p>
            </c:rich>
          </c:tx>
          <c:layout>
            <c:manualLayout>
              <c:xMode val="edge"/>
              <c:yMode val="edge"/>
              <c:x val="0.3597299603174603"/>
              <c:y val="0.927254555725420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7587440"/>
        <c:crosses val="autoZero"/>
        <c:crossBetween val="midCat"/>
      </c:valAx>
      <c:valAx>
        <c:axId val="117587440"/>
        <c:scaling>
          <c:orientation val="minMax"/>
          <c:max val="26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CH"/>
                  <a:t>Temperatur Decke °C</a:t>
                </a:r>
              </a:p>
            </c:rich>
          </c:tx>
          <c:layout>
            <c:manualLayout>
              <c:xMode val="edge"/>
              <c:yMode val="edge"/>
              <c:x val="2.5197497252527346E-3"/>
              <c:y val="0.1686836359124375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7582448"/>
        <c:crosses val="autoZero"/>
        <c:crossBetween val="midCat"/>
        <c:majorUnit val="1"/>
        <c:minorUnit val="0.2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8819718008645"/>
          <c:y val="2.9303386800756899E-2"/>
          <c:w val="0.82171106828115981"/>
          <c:h val="0.79626349206349201"/>
        </c:manualLayout>
      </c:layout>
      <c:scatterChart>
        <c:scatterStyle val="smoothMarker"/>
        <c:varyColors val="0"/>
        <c:ser>
          <c:idx val="0"/>
          <c:order val="0"/>
          <c:spPr>
            <a:ln w="12700" cap="rnd">
              <a:solidFill>
                <a:srgbClr val="0070C0"/>
              </a:solidFill>
              <a:prstDash val="sysDot"/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Luft!$B$1:$T$1</c:f>
              <c:numCache>
                <c:formatCode>General</c:formatCode>
                <c:ptCount val="19"/>
                <c:pt idx="0">
                  <c:v>1</c:v>
                </c:pt>
                <c:pt idx="1">
                  <c:v>1.9991666666666668</c:v>
                </c:pt>
                <c:pt idx="2">
                  <c:v>2.9983333333333335</c:v>
                </c:pt>
                <c:pt idx="3">
                  <c:v>3.9975000000000001</c:v>
                </c:pt>
                <c:pt idx="4">
                  <c:v>4.996666666666667</c:v>
                </c:pt>
                <c:pt idx="5">
                  <c:v>5.9958333333333336</c:v>
                </c:pt>
                <c:pt idx="6">
                  <c:v>6.9950000000000001</c:v>
                </c:pt>
                <c:pt idx="7">
                  <c:v>7.9941666666666666</c:v>
                </c:pt>
                <c:pt idx="8">
                  <c:v>8.9933333333333341</c:v>
                </c:pt>
                <c:pt idx="9">
                  <c:v>9.9924999999999997</c:v>
                </c:pt>
              </c:numCache>
            </c:numRef>
          </c:xVal>
          <c:yVal>
            <c:numRef>
              <c:f>Luft!$B$2:$T$2</c:f>
              <c:numCache>
                <c:formatCode>General</c:formatCode>
                <c:ptCount val="19"/>
                <c:pt idx="0">
                  <c:v>26</c:v>
                </c:pt>
                <c:pt idx="1">
                  <c:v>24.766957078017914</c:v>
                </c:pt>
                <c:pt idx="2">
                  <c:v>24.471198194490778</c:v>
                </c:pt>
                <c:pt idx="3">
                  <c:v>24.212341939378529</c:v>
                </c:pt>
                <c:pt idx="4">
                  <c:v>23.98078403175726</c:v>
                </c:pt>
                <c:pt idx="5">
                  <c:v>23.771610049713743</c:v>
                </c:pt>
                <c:pt idx="6">
                  <c:v>23.581492440668494</c:v>
                </c:pt>
                <c:pt idx="7">
                  <c:v>23.407943830096428</c:v>
                </c:pt>
                <c:pt idx="8">
                  <c:v>23.248989677644254</c:v>
                </c:pt>
                <c:pt idx="9">
                  <c:v>23.102995098712242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AD6-4402-BEEE-01825342DC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7889040"/>
        <c:axId val="537895696"/>
      </c:scatterChart>
      <c:valAx>
        <c:axId val="537889040"/>
        <c:scaling>
          <c:orientation val="minMax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Zeit   h</a:t>
                </a:r>
              </a:p>
            </c:rich>
          </c:tx>
          <c:layout>
            <c:manualLayout>
              <c:xMode val="edge"/>
              <c:yMode val="edge"/>
              <c:x val="0.4951902777777778"/>
              <c:y val="0.922128844881350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37895696"/>
        <c:crosses val="autoZero"/>
        <c:crossBetween val="midCat"/>
        <c:majorUnit val="1"/>
      </c:valAx>
      <c:valAx>
        <c:axId val="537895696"/>
        <c:scaling>
          <c:orientation val="minMax"/>
          <c:max val="26"/>
          <c:min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Lufttemperatur °C</a:t>
                </a:r>
              </a:p>
            </c:rich>
          </c:tx>
          <c:layout>
            <c:manualLayout>
              <c:xMode val="edge"/>
              <c:yMode val="edge"/>
              <c:x val="0"/>
              <c:y val="0.1403081362114489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37889040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4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4F3B-4660-BB6C-3889B9C04A33}"/>
              </c:ext>
            </c:extLst>
          </c:dPt>
          <c:cat>
            <c:strRef>
              <c:f>Raum!$E$38:$E$42</c:f>
              <c:strCache>
                <c:ptCount val="5"/>
                <c:pt idx="0">
                  <c:v>Decke</c:v>
                </c:pt>
                <c:pt idx="1">
                  <c:v>Wände+Boden</c:v>
                </c:pt>
                <c:pt idx="2">
                  <c:v>Luft</c:v>
                </c:pt>
                <c:pt idx="3">
                  <c:v>Total</c:v>
                </c:pt>
                <c:pt idx="4">
                  <c:v>Erforderlich</c:v>
                </c:pt>
              </c:strCache>
            </c:strRef>
          </c:cat>
          <c:val>
            <c:numRef>
              <c:f>Raum!$G$38:$G$42</c:f>
              <c:numCache>
                <c:formatCode>0.00</c:formatCode>
                <c:ptCount val="5"/>
                <c:pt idx="0">
                  <c:v>23.646342657927857</c:v>
                </c:pt>
                <c:pt idx="1">
                  <c:v>22.532292606663095</c:v>
                </c:pt>
                <c:pt idx="2">
                  <c:v>0.41380229862877477</c:v>
                </c:pt>
                <c:pt idx="3">
                  <c:v>46.592437563219725</c:v>
                </c:pt>
                <c:pt idx="4">
                  <c:v>42.4559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3B-4660-BB6C-3889B9C04A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9136991"/>
        <c:axId val="1379138655"/>
      </c:barChart>
      <c:catAx>
        <c:axId val="13791369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79138655"/>
        <c:crossesAt val="-45"/>
        <c:auto val="1"/>
        <c:lblAlgn val="ctr"/>
        <c:lblOffset val="100"/>
        <c:noMultiLvlLbl val="0"/>
      </c:catAx>
      <c:valAx>
        <c:axId val="1379138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Wärmemengen kWh</a:t>
                </a:r>
              </a:p>
            </c:rich>
          </c:tx>
          <c:layout>
            <c:manualLayout>
              <c:xMode val="edge"/>
              <c:yMode val="edge"/>
              <c:x val="2.5188891897011149E-3"/>
              <c:y val="0.241859126984126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791369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06312286762134"/>
          <c:y val="2.5286372587476871E-2"/>
          <c:w val="0.51292453101294866"/>
          <c:h val="0.79688411949911808"/>
        </c:manualLayout>
      </c:layout>
      <c:scatterChart>
        <c:scatterStyle val="lineMarker"/>
        <c:varyColors val="0"/>
        <c:ser>
          <c:idx val="1"/>
          <c:order val="1"/>
          <c:tx>
            <c:strRef>
              <c:f>Raum!$A$66</c:f>
              <c:strCache>
                <c:ptCount val="1"/>
                <c:pt idx="0">
                  <c:v>Puffer ΔT = 5K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Raum!$C$64:$D$64</c:f>
              <c:numCache>
                <c:formatCode>General</c:formatCode>
                <c:ptCount val="2"/>
                <c:pt idx="0">
                  <c:v>144</c:v>
                </c:pt>
                <c:pt idx="1">
                  <c:v>2400</c:v>
                </c:pt>
              </c:numCache>
            </c:numRef>
          </c:xVal>
          <c:yVal>
            <c:numRef>
              <c:f>Raum!$C$66:$D$66</c:f>
              <c:numCache>
                <c:formatCode>0.00</c:formatCode>
                <c:ptCount val="2"/>
                <c:pt idx="0">
                  <c:v>7.312977990430622</c:v>
                </c:pt>
                <c:pt idx="1">
                  <c:v>115.1794033492823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4B4-4879-9EE9-3BEBBD1445A4}"/>
            </c:ext>
          </c:extLst>
        </c:ser>
        <c:ser>
          <c:idx val="2"/>
          <c:order val="2"/>
          <c:tx>
            <c:strRef>
              <c:f>Raum!$A$67</c:f>
              <c:strCache>
                <c:ptCount val="1"/>
                <c:pt idx="0">
                  <c:v>Kies  ΔT =  5K</c:v>
                </c:pt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Raum!$C$64:$D$64</c:f>
              <c:numCache>
                <c:formatCode>General</c:formatCode>
                <c:ptCount val="2"/>
                <c:pt idx="0">
                  <c:v>144</c:v>
                </c:pt>
                <c:pt idx="1">
                  <c:v>2400</c:v>
                </c:pt>
              </c:numCache>
            </c:numRef>
          </c:xVal>
          <c:yVal>
            <c:numRef>
              <c:f>Raum!$C$67:$D$67</c:f>
              <c:numCache>
                <c:formatCode>0.00</c:formatCode>
                <c:ptCount val="2"/>
                <c:pt idx="0">
                  <c:v>10.917231428571428</c:v>
                </c:pt>
                <c:pt idx="1">
                  <c:v>171.94639500000002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4B4-4879-9EE9-3BEBBD1445A4}"/>
            </c:ext>
          </c:extLst>
        </c:ser>
        <c:ser>
          <c:idx val="3"/>
          <c:order val="3"/>
          <c:tx>
            <c:strRef>
              <c:f>Raum!$A$68</c:f>
              <c:strCache>
                <c:ptCount val="1"/>
                <c:pt idx="0">
                  <c:v>Puffer  ΔT =  10K</c:v>
                </c:pt>
              </c:strCache>
            </c:strRef>
          </c:tx>
          <c:spPr>
            <a:ln w="127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Raum!$C$64:$D$64</c:f>
              <c:numCache>
                <c:formatCode>General</c:formatCode>
                <c:ptCount val="2"/>
                <c:pt idx="0">
                  <c:v>144</c:v>
                </c:pt>
                <c:pt idx="1">
                  <c:v>2400</c:v>
                </c:pt>
              </c:numCache>
            </c:numRef>
          </c:xVal>
          <c:yVal>
            <c:numRef>
              <c:f>Raum!$C$68:$D$68</c:f>
              <c:numCache>
                <c:formatCode>0.00</c:formatCode>
                <c:ptCount val="2"/>
                <c:pt idx="0">
                  <c:v>3.656488995215311</c:v>
                </c:pt>
                <c:pt idx="1">
                  <c:v>57.589701674641148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4B4-4879-9EE9-3BEBBD1445A4}"/>
            </c:ext>
          </c:extLst>
        </c:ser>
        <c:ser>
          <c:idx val="4"/>
          <c:order val="4"/>
          <c:tx>
            <c:strRef>
              <c:f>Raum!$A$69</c:f>
              <c:strCache>
                <c:ptCount val="1"/>
                <c:pt idx="0">
                  <c:v>Kies  ΔT =  10K</c:v>
                </c:pt>
              </c:strCache>
            </c:strRef>
          </c:tx>
          <c:spPr>
            <a:ln w="12700" cap="rnd">
              <a:solidFill>
                <a:srgbClr val="0070C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Raum!$C$64:$D$64</c:f>
              <c:numCache>
                <c:formatCode>General</c:formatCode>
                <c:ptCount val="2"/>
                <c:pt idx="0">
                  <c:v>144</c:v>
                </c:pt>
                <c:pt idx="1">
                  <c:v>2400</c:v>
                </c:pt>
              </c:numCache>
            </c:numRef>
          </c:xVal>
          <c:yVal>
            <c:numRef>
              <c:f>Raum!$C$69:$D$69</c:f>
              <c:numCache>
                <c:formatCode>0.00</c:formatCode>
                <c:ptCount val="2"/>
                <c:pt idx="0">
                  <c:v>5.4586157142857141</c:v>
                </c:pt>
                <c:pt idx="1">
                  <c:v>85.973197500000012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4B4-4879-9EE9-3BEBBD1445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5294463"/>
        <c:axId val="1165294047"/>
      </c:scatterChart>
      <c:scatterChart>
        <c:scatterStyle val="lineMarker"/>
        <c:varyColors val="0"/>
        <c:ser>
          <c:idx val="0"/>
          <c:order val="0"/>
          <c:tx>
            <c:strRef>
              <c:f>Raum!$A$65</c:f>
              <c:strCache>
                <c:ptCount val="1"/>
                <c:pt idx="0">
                  <c:v>Abzuführende Wärme</c:v>
                </c:pt>
              </c:strCache>
            </c:strRef>
          </c:tx>
          <c:spPr>
            <a:ln w="12700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xVal>
            <c:numRef>
              <c:f>Raum!$C$64:$D$64</c:f>
              <c:numCache>
                <c:formatCode>General</c:formatCode>
                <c:ptCount val="2"/>
                <c:pt idx="0">
                  <c:v>144</c:v>
                </c:pt>
                <c:pt idx="1">
                  <c:v>2400</c:v>
                </c:pt>
              </c:numCache>
            </c:numRef>
          </c:xVal>
          <c:yVal>
            <c:numRef>
              <c:f>Raum!$C$65:$D$65</c:f>
              <c:numCache>
                <c:formatCode>0.00</c:formatCode>
                <c:ptCount val="2"/>
                <c:pt idx="0">
                  <c:v>42.4559</c:v>
                </c:pt>
                <c:pt idx="1">
                  <c:v>593.95899999999995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4B4-4879-9EE9-3BEBBD1445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8112543"/>
        <c:axId val="888106719"/>
      </c:scatterChart>
      <c:valAx>
        <c:axId val="1165294463"/>
        <c:scaling>
          <c:orientation val="minMax"/>
          <c:max val="24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Energiebezugsfläche  m</a:t>
                </a:r>
                <a:r>
                  <a:rPr lang="en-US" baseline="30000"/>
                  <a:t>2</a:t>
                </a:r>
              </a:p>
            </c:rich>
          </c:tx>
          <c:layout>
            <c:manualLayout>
              <c:xMode val="edge"/>
              <c:yMode val="edge"/>
              <c:x val="0.18162619172902156"/>
              <c:y val="0.9228907881338134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65294047"/>
        <c:crosses val="autoZero"/>
        <c:crossBetween val="midCat"/>
        <c:majorUnit val="500"/>
      </c:valAx>
      <c:valAx>
        <c:axId val="1165294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Speichervolumen    m</a:t>
                </a:r>
                <a:r>
                  <a:rPr lang="en-US" baseline="30000"/>
                  <a:t>3</a:t>
                </a:r>
              </a:p>
            </c:rich>
          </c:tx>
          <c:layout>
            <c:manualLayout>
              <c:xMode val="edge"/>
              <c:yMode val="edge"/>
              <c:x val="0"/>
              <c:y val="8.3372757854196636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65294463"/>
        <c:crosses val="autoZero"/>
        <c:crossBetween val="midCat"/>
      </c:valAx>
      <c:valAx>
        <c:axId val="888106719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kWh</a:t>
                </a:r>
              </a:p>
            </c:rich>
          </c:tx>
          <c:layout>
            <c:manualLayout>
              <c:xMode val="edge"/>
              <c:yMode val="edge"/>
              <c:x val="0.68160112095114378"/>
              <c:y val="0.320534430087843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888112543"/>
        <c:crosses val="max"/>
        <c:crossBetween val="midCat"/>
      </c:valAx>
      <c:valAx>
        <c:axId val="88811254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881067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428557696976544"/>
          <c:y val="0.59184724682127421"/>
          <c:w val="0.31506984126984128"/>
          <c:h val="0.3944481768170975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06312286762134"/>
          <c:y val="2.5286372587476871E-2"/>
          <c:w val="0.5732887862572138"/>
          <c:h val="0.8171918646807802"/>
        </c:manualLayout>
      </c:layout>
      <c:scatterChart>
        <c:scatterStyle val="lineMarker"/>
        <c:varyColors val="0"/>
        <c:ser>
          <c:idx val="1"/>
          <c:order val="1"/>
          <c:tx>
            <c:strRef>
              <c:f>Raum!$A$67</c:f>
              <c:strCache>
                <c:ptCount val="1"/>
                <c:pt idx="0">
                  <c:v>Kies  ΔT =  5K</c:v>
                </c:pt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Raum!$C$65:$D$65</c:f>
              <c:numCache>
                <c:formatCode>0.00</c:formatCode>
                <c:ptCount val="2"/>
                <c:pt idx="0">
                  <c:v>42.4559</c:v>
                </c:pt>
                <c:pt idx="1">
                  <c:v>593.95899999999995</c:v>
                </c:pt>
              </c:numCache>
            </c:numRef>
          </c:xVal>
          <c:yVal>
            <c:numRef>
              <c:f>Raum!$C$67:$D$67</c:f>
              <c:numCache>
                <c:formatCode>0.00</c:formatCode>
                <c:ptCount val="2"/>
                <c:pt idx="0">
                  <c:v>10.917231428571428</c:v>
                </c:pt>
                <c:pt idx="1">
                  <c:v>171.94639500000002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1AC-4931-BFA1-328B599A1A0C}"/>
            </c:ext>
          </c:extLst>
        </c:ser>
        <c:ser>
          <c:idx val="2"/>
          <c:order val="2"/>
          <c:tx>
            <c:strRef>
              <c:f>Raum!$A$68</c:f>
              <c:strCache>
                <c:ptCount val="1"/>
                <c:pt idx="0">
                  <c:v>Puffer  ΔT =  10K</c:v>
                </c:pt>
              </c:strCache>
            </c:strRef>
          </c:tx>
          <c:spPr>
            <a:ln w="12700" cap="rnd">
              <a:solidFill>
                <a:schemeClr val="tx1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Raum!$C$65:$D$65</c:f>
              <c:numCache>
                <c:formatCode>0.00</c:formatCode>
                <c:ptCount val="2"/>
                <c:pt idx="0">
                  <c:v>42.4559</c:v>
                </c:pt>
                <c:pt idx="1">
                  <c:v>593.95899999999995</c:v>
                </c:pt>
              </c:numCache>
            </c:numRef>
          </c:xVal>
          <c:yVal>
            <c:numRef>
              <c:f>Raum!$C$68:$D$68</c:f>
              <c:numCache>
                <c:formatCode>0.00</c:formatCode>
                <c:ptCount val="2"/>
                <c:pt idx="0">
                  <c:v>3.656488995215311</c:v>
                </c:pt>
                <c:pt idx="1">
                  <c:v>57.589701674641148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1AC-4931-BFA1-328B599A1A0C}"/>
            </c:ext>
          </c:extLst>
        </c:ser>
        <c:ser>
          <c:idx val="3"/>
          <c:order val="3"/>
          <c:tx>
            <c:strRef>
              <c:f>Raum!$A$69</c:f>
              <c:strCache>
                <c:ptCount val="1"/>
                <c:pt idx="0">
                  <c:v>Kies  ΔT =  10K</c:v>
                </c:pt>
              </c:strCache>
            </c:strRef>
          </c:tx>
          <c:spPr>
            <a:ln w="12700" cap="rnd">
              <a:solidFill>
                <a:srgbClr val="0070C0"/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Raum!$C$65:$D$65</c:f>
              <c:numCache>
                <c:formatCode>0.00</c:formatCode>
                <c:ptCount val="2"/>
                <c:pt idx="0">
                  <c:v>42.4559</c:v>
                </c:pt>
                <c:pt idx="1">
                  <c:v>593.95899999999995</c:v>
                </c:pt>
              </c:numCache>
            </c:numRef>
          </c:xVal>
          <c:yVal>
            <c:numRef>
              <c:f>Raum!$C$69:$D$69</c:f>
              <c:numCache>
                <c:formatCode>0.00</c:formatCode>
                <c:ptCount val="2"/>
                <c:pt idx="0">
                  <c:v>5.4586157142857141</c:v>
                </c:pt>
                <c:pt idx="1">
                  <c:v>85.973197500000012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1AC-4931-BFA1-328B599A1A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65294463"/>
        <c:axId val="1165294047"/>
      </c:scatterChart>
      <c:scatterChart>
        <c:scatterStyle val="lineMarker"/>
        <c:varyColors val="0"/>
        <c:ser>
          <c:idx val="0"/>
          <c:order val="0"/>
          <c:tx>
            <c:strRef>
              <c:f>Raum!$A$66</c:f>
              <c:strCache>
                <c:ptCount val="1"/>
                <c:pt idx="0">
                  <c:v>Puffer ΔT = 5K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Raum!$C$65:$D$65</c:f>
              <c:numCache>
                <c:formatCode>0.00</c:formatCode>
                <c:ptCount val="2"/>
                <c:pt idx="0">
                  <c:v>42.4559</c:v>
                </c:pt>
                <c:pt idx="1">
                  <c:v>593.95899999999995</c:v>
                </c:pt>
              </c:numCache>
            </c:numRef>
          </c:xVal>
          <c:yVal>
            <c:numRef>
              <c:f>Raum!$C$66:$D$66</c:f>
              <c:numCache>
                <c:formatCode>0.00</c:formatCode>
                <c:ptCount val="2"/>
                <c:pt idx="0">
                  <c:v>7.312977990430622</c:v>
                </c:pt>
                <c:pt idx="1">
                  <c:v>115.1794033492823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1AC-4931-BFA1-328B599A1A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8112543"/>
        <c:axId val="888106719"/>
      </c:scatterChart>
      <c:valAx>
        <c:axId val="1165294463"/>
        <c:scaling>
          <c:orientation val="minMax"/>
          <c:max val="6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Täglich abzuführende Wärme  kWh/d</a:t>
                </a:r>
                <a:endParaRPr lang="en-US" baseline="30000"/>
              </a:p>
            </c:rich>
          </c:tx>
          <c:layout>
            <c:manualLayout>
              <c:xMode val="edge"/>
              <c:yMode val="edge"/>
              <c:x val="0.14892877088886863"/>
              <c:y val="0.922890668059984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65294047"/>
        <c:crosses val="autoZero"/>
        <c:crossBetween val="midCat"/>
        <c:majorUnit val="200"/>
      </c:valAx>
      <c:valAx>
        <c:axId val="1165294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Speichervolumen    m</a:t>
                </a:r>
                <a:r>
                  <a:rPr lang="en-US" baseline="30000"/>
                  <a:t>3</a:t>
                </a:r>
              </a:p>
            </c:rich>
          </c:tx>
          <c:layout>
            <c:manualLayout>
              <c:xMode val="edge"/>
              <c:yMode val="edge"/>
              <c:x val="0"/>
              <c:y val="0.1642957955135577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165294463"/>
        <c:crosses val="autoZero"/>
        <c:crossBetween val="midCat"/>
      </c:valAx>
      <c:valAx>
        <c:axId val="888106719"/>
        <c:scaling>
          <c:orientation val="minMax"/>
        </c:scaling>
        <c:delete val="1"/>
        <c:axPos val="r"/>
        <c:numFmt formatCode="0" sourceLinked="0"/>
        <c:majorTickMark val="none"/>
        <c:minorTickMark val="none"/>
        <c:tickLblPos val="nextTo"/>
        <c:crossAx val="888112543"/>
        <c:crosses val="max"/>
        <c:crossBetween val="midCat"/>
      </c:valAx>
      <c:valAx>
        <c:axId val="888112543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88810671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8428557696976544"/>
          <c:y val="0.59184724682127421"/>
          <c:w val="0.31471297923089198"/>
          <c:h val="0.4012960563592346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123139100200038"/>
          <c:y val="2.5286372587476871E-2"/>
          <c:w val="0.86738375955794256"/>
          <c:h val="0.79626349206349201"/>
        </c:manualLayout>
      </c:layout>
      <c:scatterChart>
        <c:scatterStyle val="smoothMarker"/>
        <c:varyColors val="0"/>
        <c:ser>
          <c:idx val="0"/>
          <c:order val="0"/>
          <c:tx>
            <c:v>Kühlsegel</c:v>
          </c:tx>
          <c:spPr>
            <a:ln w="12700" cap="rnd">
              <a:solidFill>
                <a:srgbClr val="0070C0"/>
              </a:solidFill>
              <a:prstDash val="sysDot"/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Leistung!$B$1:$T$1</c:f>
              <c:numCache>
                <c:formatCode>General</c:formatCode>
                <c:ptCount val="19"/>
                <c:pt idx="0">
                  <c:v>1</c:v>
                </c:pt>
                <c:pt idx="1">
                  <c:v>1.9991666666666668</c:v>
                </c:pt>
                <c:pt idx="2">
                  <c:v>2.9983333333333335</c:v>
                </c:pt>
                <c:pt idx="3">
                  <c:v>3.9975000000000001</c:v>
                </c:pt>
                <c:pt idx="4">
                  <c:v>4.996666666666667</c:v>
                </c:pt>
                <c:pt idx="5">
                  <c:v>5.9958333333333336</c:v>
                </c:pt>
                <c:pt idx="6">
                  <c:v>6.9950000000000001</c:v>
                </c:pt>
                <c:pt idx="7">
                  <c:v>7.9941666666666666</c:v>
                </c:pt>
                <c:pt idx="8">
                  <c:v>8.9933333333333341</c:v>
                </c:pt>
                <c:pt idx="9">
                  <c:v>9.9924999999999997</c:v>
                </c:pt>
              </c:numCache>
            </c:numRef>
          </c:xVal>
          <c:yVal>
            <c:numRef>
              <c:f>Leistung!$B$2:$T$2</c:f>
              <c:numCache>
                <c:formatCode>General</c:formatCode>
                <c:ptCount val="19"/>
                <c:pt idx="0">
                  <c:v>6.673053737316609</c:v>
                </c:pt>
                <c:pt idx="1">
                  <c:v>5.8539490680112403</c:v>
                </c:pt>
                <c:pt idx="2">
                  <c:v>5.4968132409175707</c:v>
                </c:pt>
                <c:pt idx="3">
                  <c:v>5.189808444277265</c:v>
                </c:pt>
                <c:pt idx="4">
                  <c:v>4.9176778599970534</c:v>
                </c:pt>
                <c:pt idx="5">
                  <c:v>4.6729121800486517</c:v>
                </c:pt>
                <c:pt idx="6">
                  <c:v>4.4507410408049592</c:v>
                </c:pt>
                <c:pt idx="7">
                  <c:v>4.2478120026575912</c:v>
                </c:pt>
                <c:pt idx="8">
                  <c:v>4.0615994801895301</c:v>
                </c:pt>
                <c:pt idx="9">
                  <c:v>3.8900957165666585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64E-45AA-87CC-EE68007AB350}"/>
            </c:ext>
          </c:extLst>
        </c:ser>
        <c:ser>
          <c:idx val="1"/>
          <c:order val="1"/>
          <c:tx>
            <c:v>Kollektorfeld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plus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Leistung!$1:$1</c:f>
              <c:numCache>
                <c:formatCode>General</c:formatCode>
                <c:ptCount val="16384"/>
                <c:pt idx="1">
                  <c:v>1</c:v>
                </c:pt>
                <c:pt idx="2">
                  <c:v>1.9991666666666668</c:v>
                </c:pt>
                <c:pt idx="3">
                  <c:v>2.9983333333333335</c:v>
                </c:pt>
                <c:pt idx="4">
                  <c:v>3.9975000000000001</c:v>
                </c:pt>
                <c:pt idx="5">
                  <c:v>4.996666666666667</c:v>
                </c:pt>
                <c:pt idx="6">
                  <c:v>5.9958333333333336</c:v>
                </c:pt>
                <c:pt idx="7">
                  <c:v>6.9950000000000001</c:v>
                </c:pt>
                <c:pt idx="8">
                  <c:v>7.9941666666666666</c:v>
                </c:pt>
                <c:pt idx="9">
                  <c:v>8.9933333333333341</c:v>
                </c:pt>
                <c:pt idx="10">
                  <c:v>9.9924999999999997</c:v>
                </c:pt>
              </c:numCache>
            </c:numRef>
          </c:xVal>
          <c:yVal>
            <c:numRef>
              <c:f>Leistung!$3:$3</c:f>
              <c:numCache>
                <c:formatCode>General</c:formatCode>
                <c:ptCount val="16384"/>
                <c:pt idx="1">
                  <c:v>6.6728864240972108</c:v>
                </c:pt>
                <c:pt idx="2">
                  <c:v>5.8595238101493328</c:v>
                </c:pt>
                <c:pt idx="3">
                  <c:v>5.4980176667456515</c:v>
                </c:pt>
                <c:pt idx="4">
                  <c:v>5.1885682675580842</c:v>
                </c:pt>
                <c:pt idx="5">
                  <c:v>4.9147316164978685</c:v>
                </c:pt>
                <c:pt idx="6">
                  <c:v>4.6760244727108615</c:v>
                </c:pt>
                <c:pt idx="7">
                  <c:v>4.451380390368243</c:v>
                </c:pt>
                <c:pt idx="8">
                  <c:v>4.2487820717474367</c:v>
                </c:pt>
                <c:pt idx="9">
                  <c:v>4.0615594066340215</c:v>
                </c:pt>
                <c:pt idx="10">
                  <c:v>3.8902483062496818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22E-44CF-93E5-658A42B39F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7889040"/>
        <c:axId val="537895696"/>
      </c:scatterChart>
      <c:valAx>
        <c:axId val="537889040"/>
        <c:scaling>
          <c:orientation val="minMax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Zeit   h</a:t>
                </a:r>
              </a:p>
            </c:rich>
          </c:tx>
          <c:layout>
            <c:manualLayout>
              <c:xMode val="edge"/>
              <c:yMode val="edge"/>
              <c:x val="0.4951902777777778"/>
              <c:y val="0.9221288448813500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37895696"/>
        <c:crosses val="autoZero"/>
        <c:crossBetween val="midCat"/>
        <c:majorUnit val="1"/>
      </c:valAx>
      <c:valAx>
        <c:axId val="53789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Leistung kW</a:t>
                </a:r>
              </a:p>
            </c:rich>
          </c:tx>
          <c:layout>
            <c:manualLayout>
              <c:xMode val="edge"/>
              <c:yMode val="edge"/>
              <c:x val="0"/>
              <c:y val="0.2555418197090906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53788904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717597426794058"/>
          <c:y val="0.60898734177215186"/>
          <c:w val="0.2177878791879575"/>
          <c:h val="0.18249380602729853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0.10297528228865656"/>
          <c:y val="2.5346407555863881E-2"/>
          <c:w val="0.87475045175373933"/>
          <c:h val="0.7652806905079898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Luft!$A$2</c:f>
              <c:strCache>
                <c:ptCount val="1"/>
                <c:pt idx="0">
                  <c:v>T_i</c:v>
                </c:pt>
              </c:strCache>
            </c:strRef>
          </c:tx>
          <c:spPr>
            <a:ln w="12700" cap="rnd">
              <a:solidFill>
                <a:srgbClr val="0070C0"/>
              </a:solidFill>
              <a:prstDash val="sysDot"/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Luft!$B$1:$W$1</c:f>
              <c:numCache>
                <c:formatCode>General</c:formatCode>
                <c:ptCount val="22"/>
                <c:pt idx="0">
                  <c:v>1</c:v>
                </c:pt>
                <c:pt idx="1">
                  <c:v>1.9991666666666668</c:v>
                </c:pt>
                <c:pt idx="2">
                  <c:v>2.9983333333333335</c:v>
                </c:pt>
                <c:pt idx="3">
                  <c:v>3.9975000000000001</c:v>
                </c:pt>
                <c:pt idx="4">
                  <c:v>4.996666666666667</c:v>
                </c:pt>
                <c:pt idx="5">
                  <c:v>5.9958333333333336</c:v>
                </c:pt>
                <c:pt idx="6">
                  <c:v>6.9950000000000001</c:v>
                </c:pt>
                <c:pt idx="7">
                  <c:v>7.9941666666666666</c:v>
                </c:pt>
                <c:pt idx="8">
                  <c:v>8.9933333333333341</c:v>
                </c:pt>
                <c:pt idx="9">
                  <c:v>9.9924999999999997</c:v>
                </c:pt>
              </c:numCache>
            </c:numRef>
          </c:xVal>
          <c:yVal>
            <c:numRef>
              <c:f>Luft!$B$2:$W$2</c:f>
              <c:numCache>
                <c:formatCode>General</c:formatCode>
                <c:ptCount val="22"/>
                <c:pt idx="0">
                  <c:v>26</c:v>
                </c:pt>
                <c:pt idx="1">
                  <c:v>24.766957078017914</c:v>
                </c:pt>
                <c:pt idx="2">
                  <c:v>24.471198194490778</c:v>
                </c:pt>
                <c:pt idx="3">
                  <c:v>24.212341939378529</c:v>
                </c:pt>
                <c:pt idx="4">
                  <c:v>23.98078403175726</c:v>
                </c:pt>
                <c:pt idx="5">
                  <c:v>23.771610049713743</c:v>
                </c:pt>
                <c:pt idx="6">
                  <c:v>23.581492440668494</c:v>
                </c:pt>
                <c:pt idx="7">
                  <c:v>23.407943830096428</c:v>
                </c:pt>
                <c:pt idx="8">
                  <c:v>23.248989677644254</c:v>
                </c:pt>
                <c:pt idx="9">
                  <c:v>23.102995098712242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33-49E7-AC03-0A1538AF0DBF}"/>
            </c:ext>
          </c:extLst>
        </c:ser>
        <c:ser>
          <c:idx val="1"/>
          <c:order val="1"/>
          <c:tx>
            <c:strRef>
              <c:f>Koll!$A$2</c:f>
              <c:strCache>
                <c:ptCount val="1"/>
                <c:pt idx="0">
                  <c:v>T_a</c:v>
                </c:pt>
              </c:strCache>
            </c:strRef>
          </c:tx>
          <c:spPr>
            <a:ln w="12700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Koll!$B$1:$W$1</c:f>
              <c:numCache>
                <c:formatCode>General</c:formatCode>
                <c:ptCount val="22"/>
                <c:pt idx="0">
                  <c:v>1</c:v>
                </c:pt>
                <c:pt idx="1">
                  <c:v>1.9991666666666668</c:v>
                </c:pt>
                <c:pt idx="2">
                  <c:v>2.9983333333333335</c:v>
                </c:pt>
                <c:pt idx="3">
                  <c:v>3.9975000000000001</c:v>
                </c:pt>
                <c:pt idx="4">
                  <c:v>4.996666666666667</c:v>
                </c:pt>
                <c:pt idx="5">
                  <c:v>5.9958333333333336</c:v>
                </c:pt>
                <c:pt idx="6">
                  <c:v>6.9950000000000001</c:v>
                </c:pt>
                <c:pt idx="7">
                  <c:v>7.9941666666666666</c:v>
                </c:pt>
                <c:pt idx="8">
                  <c:v>8.9933333333333341</c:v>
                </c:pt>
                <c:pt idx="9">
                  <c:v>9.9924999999999997</c:v>
                </c:pt>
              </c:numCache>
            </c:numRef>
          </c:xVal>
          <c:yVal>
            <c:numRef>
              <c:f>Koll!$B$2:$W$2</c:f>
              <c:numCache>
                <c:formatCode>General</c:formatCode>
                <c:ptCount val="22"/>
                <c:pt idx="0">
                  <c:v>22.8</c:v>
                </c:pt>
                <c:pt idx="1">
                  <c:v>22.8</c:v>
                </c:pt>
                <c:pt idx="2">
                  <c:v>20.7</c:v>
                </c:pt>
                <c:pt idx="3">
                  <c:v>18.600000000000001</c:v>
                </c:pt>
                <c:pt idx="4">
                  <c:v>18.600000000000001</c:v>
                </c:pt>
                <c:pt idx="5">
                  <c:v>17.100000000000001</c:v>
                </c:pt>
                <c:pt idx="6">
                  <c:v>15.3</c:v>
                </c:pt>
                <c:pt idx="7">
                  <c:v>14.3</c:v>
                </c:pt>
                <c:pt idx="8">
                  <c:v>13.5</c:v>
                </c:pt>
                <c:pt idx="9">
                  <c:v>13.3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FCB-46B7-8353-5199679F369E}"/>
            </c:ext>
          </c:extLst>
        </c:ser>
        <c:ser>
          <c:idx val="2"/>
          <c:order val="2"/>
          <c:tx>
            <c:strRef>
              <c:f>Koll!$A$3</c:f>
              <c:strCache>
                <c:ptCount val="1"/>
                <c:pt idx="0">
                  <c:v>T_l_Koll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Koll!$B$1:$W$1</c:f>
              <c:numCache>
                <c:formatCode>General</c:formatCode>
                <c:ptCount val="22"/>
                <c:pt idx="0">
                  <c:v>1</c:v>
                </c:pt>
                <c:pt idx="1">
                  <c:v>1.9991666666666668</c:v>
                </c:pt>
                <c:pt idx="2">
                  <c:v>2.9983333333333335</c:v>
                </c:pt>
                <c:pt idx="3">
                  <c:v>3.9975000000000001</c:v>
                </c:pt>
                <c:pt idx="4">
                  <c:v>4.996666666666667</c:v>
                </c:pt>
                <c:pt idx="5">
                  <c:v>5.9958333333333336</c:v>
                </c:pt>
                <c:pt idx="6">
                  <c:v>6.9950000000000001</c:v>
                </c:pt>
                <c:pt idx="7">
                  <c:v>7.9941666666666666</c:v>
                </c:pt>
                <c:pt idx="8">
                  <c:v>8.9933333333333341</c:v>
                </c:pt>
                <c:pt idx="9">
                  <c:v>9.9924999999999997</c:v>
                </c:pt>
              </c:numCache>
            </c:numRef>
          </c:xVal>
          <c:yVal>
            <c:numRef>
              <c:f>Koll!$B$3:$W$3</c:f>
              <c:numCache>
                <c:formatCode>General</c:formatCode>
                <c:ptCount val="22"/>
                <c:pt idx="0">
                  <c:v>27.672190892309793</c:v>
                </c:pt>
                <c:pt idx="1">
                  <c:v>27.04782807498858</c:v>
                </c:pt>
                <c:pt idx="2">
                  <c:v>24.185456836538151</c:v>
                </c:pt>
                <c:pt idx="3">
                  <c:v>22.294844771103485</c:v>
                </c:pt>
                <c:pt idx="4">
                  <c:v>22.766133211400721</c:v>
                </c:pt>
                <c:pt idx="5">
                  <c:v>21.051531778692286</c:v>
                </c:pt>
                <c:pt idx="6">
                  <c:v>19.193004115226344</c:v>
                </c:pt>
                <c:pt idx="7">
                  <c:v>17.745996827493567</c:v>
                </c:pt>
                <c:pt idx="8">
                  <c:v>17.263006617855993</c:v>
                </c:pt>
                <c:pt idx="9">
                  <c:v>16.692527110253074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FCB-46B7-8353-5199679F369E}"/>
            </c:ext>
          </c:extLst>
        </c:ser>
        <c:ser>
          <c:idx val="3"/>
          <c:order val="3"/>
          <c:tx>
            <c:strRef>
              <c:f>Kuehlsegel!$A$2</c:f>
              <c:strCache>
                <c:ptCount val="1"/>
                <c:pt idx="0">
                  <c:v>T_l</c:v>
                </c:pt>
              </c:strCache>
            </c:strRef>
          </c:tx>
          <c:spPr>
            <a:ln w="127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7"/>
            <c:spPr>
              <a:noFill/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Kuehlsegel!$B$1:$W$1</c:f>
              <c:numCache>
                <c:formatCode>General</c:formatCode>
                <c:ptCount val="22"/>
                <c:pt idx="0">
                  <c:v>1</c:v>
                </c:pt>
                <c:pt idx="1">
                  <c:v>1.9991666666666668</c:v>
                </c:pt>
                <c:pt idx="2">
                  <c:v>2.9983333333333335</c:v>
                </c:pt>
                <c:pt idx="3">
                  <c:v>3.9975000000000001</c:v>
                </c:pt>
                <c:pt idx="4">
                  <c:v>4.996666666666667</c:v>
                </c:pt>
                <c:pt idx="5">
                  <c:v>5.9958333333333336</c:v>
                </c:pt>
                <c:pt idx="6">
                  <c:v>6.9950000000000001</c:v>
                </c:pt>
                <c:pt idx="7">
                  <c:v>7.9941666666666666</c:v>
                </c:pt>
                <c:pt idx="8">
                  <c:v>8.9933333333333341</c:v>
                </c:pt>
                <c:pt idx="9">
                  <c:v>9.9924999999999997</c:v>
                </c:pt>
              </c:numCache>
            </c:numRef>
          </c:xVal>
          <c:yVal>
            <c:numRef>
              <c:f>Kuehlsegel!$B$2:$W$2</c:f>
              <c:numCache>
                <c:formatCode>General</c:formatCode>
                <c:ptCount val="22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FCB-46B7-8353-5199679F36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6066752"/>
        <c:axId val="1516070912"/>
      </c:scatterChart>
      <c:valAx>
        <c:axId val="1516066752"/>
        <c:scaling>
          <c:orientation val="minMax"/>
          <c:min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Zeit h</a:t>
                </a:r>
              </a:p>
            </c:rich>
          </c:tx>
          <c:layout>
            <c:manualLayout>
              <c:xMode val="edge"/>
              <c:yMode val="edge"/>
              <c:x val="0.49519246031746039"/>
              <c:y val="0.904799074074074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rnd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516070912"/>
        <c:crosses val="autoZero"/>
        <c:crossBetween val="midCat"/>
        <c:majorUnit val="1"/>
      </c:valAx>
      <c:valAx>
        <c:axId val="1516070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de-CH"/>
                  <a:t>Temperatur °C</a:t>
                </a:r>
              </a:p>
            </c:rich>
          </c:tx>
          <c:layout>
            <c:manualLayout>
              <c:xMode val="edge"/>
              <c:yMode val="edge"/>
              <c:x val="0"/>
              <c:y val="0.23386635300833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rnd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5160667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7227539682539683"/>
          <c:y val="0.69036851851851866"/>
          <c:w val="0.5503797619047619"/>
          <c:h val="8.7286574074074072E-2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4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5E7-494C-8D58-BA3ACB699C34}"/>
              </c:ext>
            </c:extLst>
          </c:dPt>
          <c:cat>
            <c:strRef>
              <c:f>Raum!$T$41:$T$45</c:f>
              <c:strCache>
                <c:ptCount val="5"/>
                <c:pt idx="0">
                  <c:v>4K, P3</c:v>
                </c:pt>
                <c:pt idx="1">
                  <c:v>2K, P3</c:v>
                </c:pt>
                <c:pt idx="2">
                  <c:v>4K, P5</c:v>
                </c:pt>
                <c:pt idx="3">
                  <c:v>2K, P5</c:v>
                </c:pt>
                <c:pt idx="4">
                  <c:v>Erforderlich</c:v>
                </c:pt>
              </c:strCache>
            </c:strRef>
          </c:cat>
          <c:val>
            <c:numRef>
              <c:f>Raum!$V$41:$V$45</c:f>
              <c:numCache>
                <c:formatCode>General</c:formatCode>
                <c:ptCount val="5"/>
                <c:pt idx="0">
                  <c:v>30.211127134059598</c:v>
                </c:pt>
                <c:pt idx="1">
                  <c:v>35.736840355979282</c:v>
                </c:pt>
                <c:pt idx="2">
                  <c:v>37.444198394136237</c:v>
                </c:pt>
                <c:pt idx="3">
                  <c:v>45.80861692650943</c:v>
                </c:pt>
                <c:pt idx="4" formatCode="0.00">
                  <c:v>42.4559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5E7-494C-8D58-BA3ACB699C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9136991"/>
        <c:axId val="1379138655"/>
      </c:barChart>
      <c:catAx>
        <c:axId val="13791369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79138655"/>
        <c:crossesAt val="-45"/>
        <c:auto val="1"/>
        <c:lblAlgn val="ctr"/>
        <c:lblOffset val="100"/>
        <c:noMultiLvlLbl val="0"/>
      </c:catAx>
      <c:valAx>
        <c:axId val="1379138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Wärmemengen kWh</a:t>
                </a:r>
              </a:p>
            </c:rich>
          </c:tx>
          <c:layout>
            <c:manualLayout>
              <c:xMode val="edge"/>
              <c:yMode val="edge"/>
              <c:x val="2.5188891897011149E-3"/>
              <c:y val="0.241859126984126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791369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1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4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6D2-40FC-8B90-8A164DD3BF21}"/>
              </c:ext>
            </c:extLst>
          </c:dPt>
          <c:cat>
            <c:strRef>
              <c:f>Raum!$T$56:$T$60</c:f>
              <c:strCache>
                <c:ptCount val="5"/>
                <c:pt idx="0">
                  <c:v>July, clear, warm</c:v>
                </c:pt>
                <c:pt idx="1">
                  <c:v>July, grey</c:v>
                </c:pt>
                <c:pt idx="2">
                  <c:v>May, clear, warm</c:v>
                </c:pt>
                <c:pt idx="3">
                  <c:v>May, grey</c:v>
                </c:pt>
                <c:pt idx="4">
                  <c:v>Erforderlich</c:v>
                </c:pt>
              </c:strCache>
            </c:strRef>
          </c:cat>
          <c:val>
            <c:numRef>
              <c:f>Raum!$V$56:$V$60</c:f>
              <c:numCache>
                <c:formatCode>General</c:formatCode>
                <c:ptCount val="5"/>
                <c:pt idx="0">
                  <c:v>35.736840355979282</c:v>
                </c:pt>
                <c:pt idx="1">
                  <c:v>27.683224603217763</c:v>
                </c:pt>
                <c:pt idx="2">
                  <c:v>34.277099915735043</c:v>
                </c:pt>
                <c:pt idx="3">
                  <c:v>41.699772686575614</c:v>
                </c:pt>
                <c:pt idx="4" formatCode="0.00">
                  <c:v>42.4559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D2-40FC-8B90-8A164DD3BF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79136991"/>
        <c:axId val="1379138655"/>
      </c:barChart>
      <c:catAx>
        <c:axId val="13791369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79138655"/>
        <c:crossesAt val="-45"/>
        <c:auto val="1"/>
        <c:lblAlgn val="ctr"/>
        <c:lblOffset val="100"/>
        <c:noMultiLvlLbl val="0"/>
      </c:catAx>
      <c:valAx>
        <c:axId val="13791386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en-US"/>
                  <a:t>Wärmemengen kWh</a:t>
                </a:r>
              </a:p>
            </c:rich>
          </c:tx>
          <c:layout>
            <c:manualLayout>
              <c:xMode val="edge"/>
              <c:yMode val="edge"/>
              <c:x val="2.5188891897011149E-3"/>
              <c:y val="0.2418591269841269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3791369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solidFill>
            <a:schemeClr val="tx1"/>
          </a:solidFill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Waerme!$A$1:$S$1</c:f>
              <c:numCache>
                <c:formatCode>General</c:formatCode>
                <c:ptCount val="19"/>
                <c:pt idx="1">
                  <c:v>0</c:v>
                </c:pt>
                <c:pt idx="2">
                  <c:v>0.99916666666666665</c:v>
                </c:pt>
                <c:pt idx="3">
                  <c:v>1.9983333333333333</c:v>
                </c:pt>
                <c:pt idx="4">
                  <c:v>2.9975000000000001</c:v>
                </c:pt>
                <c:pt idx="5">
                  <c:v>3.9966666666666666</c:v>
                </c:pt>
                <c:pt idx="6">
                  <c:v>4.9958333333333336</c:v>
                </c:pt>
                <c:pt idx="7">
                  <c:v>5.9950000000000001</c:v>
                </c:pt>
                <c:pt idx="8">
                  <c:v>6.9941666666666666</c:v>
                </c:pt>
                <c:pt idx="9">
                  <c:v>7.9933333333333332</c:v>
                </c:pt>
                <c:pt idx="10">
                  <c:v>8.9924999999999997</c:v>
                </c:pt>
              </c:numCache>
            </c:numRef>
          </c:xVal>
          <c:yVal>
            <c:numRef>
              <c:f>Waerme!$A$2:$S$2</c:f>
              <c:numCache>
                <c:formatCode>General</c:formatCode>
                <c:ptCount val="19"/>
                <c:pt idx="1">
                  <c:v>0</c:v>
                </c:pt>
                <c:pt idx="2">
                  <c:v>-9794.6041803933367</c:v>
                </c:pt>
                <c:pt idx="3">
                  <c:v>-19331.640876982485</c:v>
                </c:pt>
                <c:pt idx="4">
                  <c:v>-28822.639537772269</c:v>
                </c:pt>
                <c:pt idx="5">
                  <c:v>-38299.763455521483</c:v>
                </c:pt>
                <c:pt idx="6">
                  <c:v>-47758.443750510261</c:v>
                </c:pt>
                <c:pt idx="7">
                  <c:v>-57185.644958851291</c:v>
                </c:pt>
                <c:pt idx="8">
                  <c:v>-66566.074889679308</c:v>
                </c:pt>
                <c:pt idx="9">
                  <c:v>-75884.515467189369</c:v>
                </c:pt>
                <c:pt idx="10">
                  <c:v>-85126.833568540285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0A1-46A6-8215-B0CC8DF49C7B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Waerme!$A$1:$S$1</c:f>
              <c:numCache>
                <c:formatCode>General</c:formatCode>
                <c:ptCount val="19"/>
                <c:pt idx="1">
                  <c:v>0</c:v>
                </c:pt>
                <c:pt idx="2">
                  <c:v>0.99916666666666665</c:v>
                </c:pt>
                <c:pt idx="3">
                  <c:v>1.9983333333333333</c:v>
                </c:pt>
                <c:pt idx="4">
                  <c:v>2.9975000000000001</c:v>
                </c:pt>
                <c:pt idx="5">
                  <c:v>3.9966666666666666</c:v>
                </c:pt>
                <c:pt idx="6">
                  <c:v>4.9958333333333336</c:v>
                </c:pt>
                <c:pt idx="7">
                  <c:v>5.9950000000000001</c:v>
                </c:pt>
                <c:pt idx="8">
                  <c:v>6.9941666666666666</c:v>
                </c:pt>
                <c:pt idx="9">
                  <c:v>7.9933333333333332</c:v>
                </c:pt>
                <c:pt idx="10">
                  <c:v>8.9924999999999997</c:v>
                </c:pt>
              </c:numCache>
            </c:numRef>
          </c:xVal>
          <c:yVal>
            <c:numRef>
              <c:f>Waerme!$A$3:$S$3</c:f>
              <c:numCache>
                <c:formatCode>General</c:formatCode>
                <c:ptCount val="19"/>
                <c:pt idx="1">
                  <c:v>0</c:v>
                </c:pt>
                <c:pt idx="2">
                  <c:v>-12954.636047193522</c:v>
                </c:pt>
                <c:pt idx="3">
                  <c:v>-24879.85039349923</c:v>
                </c:pt>
                <c:pt idx="4">
                  <c:v>-35633.162180274747</c:v>
                </c:pt>
                <c:pt idx="5">
                  <c:v>-45315.891292448519</c:v>
                </c:pt>
                <c:pt idx="6">
                  <c:v>-54032.963260777578</c:v>
                </c:pt>
                <c:pt idx="7">
                  <c:v>-61884.068366217682</c:v>
                </c:pt>
                <c:pt idx="8">
                  <c:v>-68960.974514797053</c:v>
                </c:pt>
                <c:pt idx="9">
                  <c:v>-75346.817128271359</c:v>
                </c:pt>
                <c:pt idx="10">
                  <c:v>-81116.253383987147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0A1-46A6-8215-B0CC8DF49C7B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Waerme!$A$1:$S$1</c:f>
              <c:numCache>
                <c:formatCode>General</c:formatCode>
                <c:ptCount val="19"/>
                <c:pt idx="1">
                  <c:v>0</c:v>
                </c:pt>
                <c:pt idx="2">
                  <c:v>0.99916666666666665</c:v>
                </c:pt>
                <c:pt idx="3">
                  <c:v>1.9983333333333333</c:v>
                </c:pt>
                <c:pt idx="4">
                  <c:v>2.9975000000000001</c:v>
                </c:pt>
                <c:pt idx="5">
                  <c:v>3.9966666666666666</c:v>
                </c:pt>
                <c:pt idx="6">
                  <c:v>4.9958333333333336</c:v>
                </c:pt>
                <c:pt idx="7">
                  <c:v>5.9950000000000001</c:v>
                </c:pt>
                <c:pt idx="8">
                  <c:v>6.9941666666666666</c:v>
                </c:pt>
                <c:pt idx="9">
                  <c:v>7.9933333333333332</c:v>
                </c:pt>
                <c:pt idx="10">
                  <c:v>8.9924999999999997</c:v>
                </c:pt>
              </c:numCache>
            </c:numRef>
          </c:xVal>
          <c:yVal>
            <c:numRef>
              <c:f>Waerme!$A$4:$S$4</c:f>
              <c:numCache>
                <c:formatCode>General</c:formatCode>
                <c:ptCount val="19"/>
                <c:pt idx="1">
                  <c:v>0</c:v>
                </c:pt>
                <c:pt idx="2">
                  <c:v>-634.05125159103375</c:v>
                </c:pt>
                <c:pt idx="3">
                  <c:v>-786.13540610538178</c:v>
                </c:pt>
                <c:pt idx="4">
                  <c:v>-919.24361313539953</c:v>
                </c:pt>
                <c:pt idx="5">
                  <c:v>-1038.3145542402378</c:v>
                </c:pt>
                <c:pt idx="6">
                  <c:v>-1145.8753071958424</c:v>
                </c:pt>
                <c:pt idx="7">
                  <c:v>-1243.6369550798131</c:v>
                </c:pt>
                <c:pt idx="8">
                  <c:v>-1332.8785473904998</c:v>
                </c:pt>
                <c:pt idx="9">
                  <c:v>-1414.6154257352405</c:v>
                </c:pt>
                <c:pt idx="10">
                  <c:v>-1489.6882750635891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60A1-46A6-8215-B0CC8DF49C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8016336"/>
        <c:axId val="538009264"/>
      </c:scatterChart>
      <c:valAx>
        <c:axId val="538016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8009264"/>
        <c:crosses val="autoZero"/>
        <c:crossBetween val="midCat"/>
      </c:valAx>
      <c:valAx>
        <c:axId val="538009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8016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10" Type="http://schemas.openxmlformats.org/officeDocument/2006/relationships/chart" Target="../charts/chart18.xml"/><Relationship Id="rId4" Type="http://schemas.openxmlformats.org/officeDocument/2006/relationships/chart" Target="../charts/chart12.xml"/><Relationship Id="rId9" Type="http://schemas.openxmlformats.org/officeDocument/2006/relationships/chart" Target="../charts/chart1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20046</xdr:colOff>
      <xdr:row>1</xdr:row>
      <xdr:rowOff>21453</xdr:rowOff>
    </xdr:from>
    <xdr:to>
      <xdr:col>16</xdr:col>
      <xdr:colOff>328310</xdr:colOff>
      <xdr:row>14</xdr:row>
      <xdr:rowOff>143969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10929</xdr:colOff>
      <xdr:row>15</xdr:row>
      <xdr:rowOff>7303</xdr:rowOff>
    </xdr:from>
    <xdr:to>
      <xdr:col>16</xdr:col>
      <xdr:colOff>319193</xdr:colOff>
      <xdr:row>28</xdr:row>
      <xdr:rowOff>150067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56332</xdr:colOff>
      <xdr:row>3</xdr:row>
      <xdr:rowOff>157162</xdr:rowOff>
    </xdr:from>
    <xdr:to>
      <xdr:col>22</xdr:col>
      <xdr:colOff>451760</xdr:colOff>
      <xdr:row>17</xdr:row>
      <xdr:rowOff>13428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63500</xdr:colOff>
          <xdr:row>1</xdr:row>
          <xdr:rowOff>69850</xdr:rowOff>
        </xdr:from>
        <xdr:to>
          <xdr:col>5</xdr:col>
          <xdr:colOff>463550</xdr:colOff>
          <xdr:row>4</xdr:row>
          <xdr:rowOff>0</xdr:rowOff>
        </xdr:to>
        <xdr:sp macro="" textlink="">
          <xdr:nvSpPr>
            <xdr:cNvPr id="20488" name="Button 8" hidden="1">
              <a:extLst>
                <a:ext uri="{63B3BB69-23CF-44E3-9099-C40C66FF867C}">
                  <a14:compatExt spid="_x0000_s20488"/>
                </a:ext>
                <a:ext uri="{FF2B5EF4-FFF2-40B4-BE49-F238E27FC236}">
                  <a16:creationId xmlns:a16="http://schemas.microsoft.com/office/drawing/2014/main" id="{00000000-0008-0000-0100-00000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Berechnen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48126</xdr:colOff>
      <xdr:row>4</xdr:row>
      <xdr:rowOff>184484</xdr:rowOff>
    </xdr:from>
    <xdr:to>
      <xdr:col>7</xdr:col>
      <xdr:colOff>144780</xdr:colOff>
      <xdr:row>17</xdr:row>
      <xdr:rowOff>138206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65057</xdr:colOff>
      <xdr:row>0</xdr:row>
      <xdr:rowOff>17929</xdr:rowOff>
    </xdr:from>
    <xdr:to>
      <xdr:col>21</xdr:col>
      <xdr:colOff>512012</xdr:colOff>
      <xdr:row>13</xdr:row>
      <xdr:rowOff>81482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22309</xdr:colOff>
      <xdr:row>16</xdr:row>
      <xdr:rowOff>136761</xdr:rowOff>
    </xdr:from>
    <xdr:to>
      <xdr:col>22</xdr:col>
      <xdr:colOff>1619</xdr:colOff>
      <xdr:row>29</xdr:row>
      <xdr:rowOff>180261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6350</xdr:colOff>
          <xdr:row>2</xdr:row>
          <xdr:rowOff>0</xdr:rowOff>
        </xdr:from>
        <xdr:to>
          <xdr:col>11</xdr:col>
          <xdr:colOff>571500</xdr:colOff>
          <xdr:row>3</xdr:row>
          <xdr:rowOff>101600</xdr:rowOff>
        </xdr:to>
        <xdr:sp macro="" textlink="">
          <xdr:nvSpPr>
            <xdr:cNvPr id="12297" name="Button 9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2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aus "Kühlsegel"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6350</xdr:colOff>
          <xdr:row>3</xdr:row>
          <xdr:rowOff>114300</xdr:rowOff>
        </xdr:from>
        <xdr:to>
          <xdr:col>11</xdr:col>
          <xdr:colOff>571500</xdr:colOff>
          <xdr:row>5</xdr:row>
          <xdr:rowOff>63500</xdr:rowOff>
        </xdr:to>
        <xdr:sp macro="" textlink="">
          <xdr:nvSpPr>
            <xdr:cNvPr id="12298" name="Button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2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aus "Prototyp"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526676</xdr:colOff>
      <xdr:row>16</xdr:row>
      <xdr:rowOff>134471</xdr:rowOff>
    </xdr:from>
    <xdr:to>
      <xdr:col>31</xdr:col>
      <xdr:colOff>505987</xdr:colOff>
      <xdr:row>29</xdr:row>
      <xdr:rowOff>177971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87669</xdr:colOff>
      <xdr:row>3</xdr:row>
      <xdr:rowOff>131729</xdr:rowOff>
    </xdr:from>
    <xdr:to>
      <xdr:col>21</xdr:col>
      <xdr:colOff>392469</xdr:colOff>
      <xdr:row>18</xdr:row>
      <xdr:rowOff>35534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787400</xdr:colOff>
          <xdr:row>1</xdr:row>
          <xdr:rowOff>0</xdr:rowOff>
        </xdr:from>
        <xdr:to>
          <xdr:col>4</xdr:col>
          <xdr:colOff>2197100</xdr:colOff>
          <xdr:row>2</xdr:row>
          <xdr:rowOff>25400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Simulieren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17688</xdr:colOff>
      <xdr:row>1</xdr:row>
      <xdr:rowOff>49947</xdr:rowOff>
    </xdr:from>
    <xdr:to>
      <xdr:col>17</xdr:col>
      <xdr:colOff>180888</xdr:colOff>
      <xdr:row>12</xdr:row>
      <xdr:rowOff>174318</xdr:rowOff>
    </xdr:to>
    <xdr:graphicFrame macro="">
      <xdr:nvGraphicFramePr>
        <xdr:cNvPr id="3" name="Chart 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14229</xdr:colOff>
      <xdr:row>13</xdr:row>
      <xdr:rowOff>32627</xdr:rowOff>
    </xdr:from>
    <xdr:to>
      <xdr:col>17</xdr:col>
      <xdr:colOff>177429</xdr:colOff>
      <xdr:row>25</xdr:row>
      <xdr:rowOff>41098</xdr:rowOff>
    </xdr:to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22635</xdr:colOff>
      <xdr:row>25</xdr:row>
      <xdr:rowOff>17033</xdr:rowOff>
    </xdr:from>
    <xdr:to>
      <xdr:col>17</xdr:col>
      <xdr:colOff>185835</xdr:colOff>
      <xdr:row>36</xdr:row>
      <xdr:rowOff>133080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213810</xdr:colOff>
      <xdr:row>38</xdr:row>
      <xdr:rowOff>28861</xdr:rowOff>
    </xdr:from>
    <xdr:to>
      <xdr:col>17</xdr:col>
      <xdr:colOff>346696</xdr:colOff>
      <xdr:row>51</xdr:row>
      <xdr:rowOff>65722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9</xdr:col>
      <xdr:colOff>144779</xdr:colOff>
      <xdr:row>57</xdr:row>
      <xdr:rowOff>94297</xdr:rowOff>
    </xdr:from>
    <xdr:to>
      <xdr:col>17</xdr:col>
      <xdr:colOff>307979</xdr:colOff>
      <xdr:row>71</xdr:row>
      <xdr:rowOff>101602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74475</xdr:colOff>
      <xdr:row>72</xdr:row>
      <xdr:rowOff>130309</xdr:rowOff>
    </xdr:from>
    <xdr:to>
      <xdr:col>17</xdr:col>
      <xdr:colOff>237675</xdr:colOff>
      <xdr:row>86</xdr:row>
      <xdr:rowOff>135709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15353</xdr:colOff>
      <xdr:row>12</xdr:row>
      <xdr:rowOff>168088</xdr:rowOff>
    </xdr:from>
    <xdr:to>
      <xdr:col>26</xdr:col>
      <xdr:colOff>180458</xdr:colOff>
      <xdr:row>24</xdr:row>
      <xdr:rowOff>178464</xdr:rowOff>
    </xdr:to>
    <xdr:graphicFrame macro="">
      <xdr:nvGraphicFramePr>
        <xdr:cNvPr id="7" name="Chart 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18</xdr:col>
      <xdr:colOff>11685</xdr:colOff>
      <xdr:row>25</xdr:row>
      <xdr:rowOff>126462</xdr:rowOff>
    </xdr:from>
    <xdr:to>
      <xdr:col>26</xdr:col>
      <xdr:colOff>176790</xdr:colOff>
      <xdr:row>37</xdr:row>
      <xdr:rowOff>57500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22</xdr:col>
      <xdr:colOff>66260</xdr:colOff>
      <xdr:row>40</xdr:row>
      <xdr:rowOff>21673</xdr:rowOff>
    </xdr:from>
    <xdr:to>
      <xdr:col>30</xdr:col>
      <xdr:colOff>199145</xdr:colOff>
      <xdr:row>53</xdr:row>
      <xdr:rowOff>74409</xdr:rowOff>
    </xdr:to>
    <xdr:graphicFrame macro="">
      <xdr:nvGraphicFramePr>
        <xdr:cNvPr id="9" name="Chart 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22</xdr:col>
      <xdr:colOff>91108</xdr:colOff>
      <xdr:row>55</xdr:row>
      <xdr:rowOff>82826</xdr:rowOff>
    </xdr:from>
    <xdr:to>
      <xdr:col>30</xdr:col>
      <xdr:colOff>223993</xdr:colOff>
      <xdr:row>68</xdr:row>
      <xdr:rowOff>132387</xdr:rowOff>
    </xdr:to>
    <xdr:graphicFrame macro="">
      <xdr:nvGraphicFramePr>
        <xdr:cNvPr id="12" name="Chart 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396240</xdr:colOff>
      <xdr:row>9</xdr:row>
      <xdr:rowOff>83820</xdr:rowOff>
    </xdr:from>
    <xdr:to>
      <xdr:col>15</xdr:col>
      <xdr:colOff>91440</xdr:colOff>
      <xdr:row>24</xdr:row>
      <xdr:rowOff>83820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3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ctrlProp" Target="../ctrlProps/ctrlProp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C06D4-3445-4565-AF8E-8F054C2168FB}">
  <sheetPr codeName="Sheet13">
    <tabColor theme="7" tint="0.79998168889431442"/>
  </sheetPr>
  <dimension ref="A1:Y70"/>
  <sheetViews>
    <sheetView zoomScaleNormal="100" workbookViewId="0">
      <selection activeCell="A57" sqref="A57"/>
    </sheetView>
  </sheetViews>
  <sheetFormatPr defaultColWidth="8.6328125" defaultRowHeight="14.5" x14ac:dyDescent="0.35"/>
  <cols>
    <col min="1" max="1" width="53.36328125" customWidth="1"/>
    <col min="2" max="2" width="8.6328125" style="6"/>
    <col min="3" max="3" width="12" bestFit="1" customWidth="1"/>
    <col min="4" max="4" width="2.90625" customWidth="1"/>
    <col min="5" max="5" width="31" customWidth="1"/>
    <col min="6" max="6" width="8.6328125" style="6"/>
    <col min="7" max="7" width="11.54296875" customWidth="1"/>
    <col min="8" max="8" width="2.6328125" customWidth="1"/>
    <col min="9" max="9" width="9.08984375" customWidth="1"/>
    <col min="22" max="22" width="19.6328125" customWidth="1"/>
    <col min="23" max="23" width="52.36328125" customWidth="1"/>
  </cols>
  <sheetData>
    <row r="1" spans="1:25" ht="18.5" x14ac:dyDescent="0.45">
      <c r="A1" s="7" t="s">
        <v>0</v>
      </c>
      <c r="B1" s="21"/>
      <c r="C1" s="22" t="s">
        <v>1</v>
      </c>
      <c r="D1" s="22" t="s">
        <v>2</v>
      </c>
      <c r="E1" s="22"/>
      <c r="F1" s="21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V1" s="42" t="s">
        <v>3</v>
      </c>
      <c r="W1" s="42"/>
      <c r="X1" s="42"/>
      <c r="Y1" s="42"/>
    </row>
    <row r="2" spans="1:25" x14ac:dyDescent="0.35">
      <c r="A2" s="23" t="s">
        <v>4</v>
      </c>
      <c r="B2" s="24"/>
      <c r="C2" s="23"/>
      <c r="D2" s="23"/>
      <c r="E2" s="23"/>
      <c r="F2" s="24"/>
      <c r="G2" s="23"/>
      <c r="H2" s="23"/>
      <c r="I2" s="4" t="s">
        <v>5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V2" s="43"/>
      <c r="W2" s="44"/>
      <c r="X2" s="45" t="s">
        <v>6</v>
      </c>
      <c r="Y2" s="46" t="s">
        <v>7</v>
      </c>
    </row>
    <row r="3" spans="1:25" ht="16.5" x14ac:dyDescent="0.35">
      <c r="A3" s="4" t="s">
        <v>8</v>
      </c>
      <c r="B3" s="9" t="s">
        <v>9</v>
      </c>
      <c r="C3">
        <v>11.446999999999999</v>
      </c>
      <c r="D3" s="23"/>
      <c r="E3" s="23"/>
      <c r="F3" s="23"/>
      <c r="G3" s="23"/>
      <c r="H3" s="23"/>
      <c r="I3" s="9" t="s">
        <v>10</v>
      </c>
      <c r="J3" s="47" t="s">
        <v>11</v>
      </c>
      <c r="K3" s="4"/>
      <c r="L3" s="4"/>
      <c r="M3" s="4"/>
      <c r="N3" s="4"/>
      <c r="O3" s="4"/>
      <c r="P3" s="4"/>
      <c r="Q3" s="4"/>
      <c r="R3" s="4"/>
      <c r="S3" s="4"/>
      <c r="T3" s="4"/>
      <c r="V3" s="48"/>
      <c r="W3" s="4"/>
      <c r="X3" s="9" t="s">
        <v>12</v>
      </c>
      <c r="Y3" s="49" t="s">
        <v>13</v>
      </c>
    </row>
    <row r="4" spans="1:25" x14ac:dyDescent="0.35">
      <c r="A4" s="4" t="s">
        <v>14</v>
      </c>
      <c r="B4" s="9" t="s">
        <v>15</v>
      </c>
      <c r="C4">
        <v>1.0680000000000001</v>
      </c>
      <c r="D4" s="23"/>
      <c r="E4" s="23"/>
      <c r="F4" s="24"/>
      <c r="G4" s="23"/>
      <c r="H4" s="23"/>
      <c r="I4" s="9" t="s">
        <v>16</v>
      </c>
      <c r="J4" s="9" t="s">
        <v>17</v>
      </c>
      <c r="K4" s="4"/>
      <c r="L4" s="4"/>
      <c r="M4" s="4"/>
      <c r="N4" s="4"/>
      <c r="O4" s="4"/>
      <c r="P4" s="4"/>
      <c r="Q4" s="4"/>
      <c r="R4" s="4"/>
      <c r="S4" s="4"/>
      <c r="T4" s="4"/>
      <c r="V4" s="50" t="s">
        <v>18</v>
      </c>
      <c r="W4" t="s">
        <v>19</v>
      </c>
      <c r="Y4" s="51" t="s">
        <v>20</v>
      </c>
    </row>
    <row r="5" spans="1:25" x14ac:dyDescent="0.35">
      <c r="A5" s="62" t="s">
        <v>21</v>
      </c>
      <c r="B5" s="24"/>
      <c r="C5" s="23"/>
      <c r="D5" s="23"/>
      <c r="E5" s="62" t="s">
        <v>22</v>
      </c>
      <c r="F5" s="24"/>
      <c r="G5" s="23"/>
      <c r="H5" s="23"/>
      <c r="I5" s="18">
        <v>0</v>
      </c>
      <c r="J5" s="12" cm="1">
        <f t="array" ref="J5">Temperatur_oertlich(C$33+C$35,C$10,I5,C$16,C$25,C$18,C$9)</f>
        <v>19.673320461241552</v>
      </c>
      <c r="K5" s="4"/>
      <c r="L5" s="4"/>
      <c r="M5" s="4"/>
      <c r="N5" s="4"/>
      <c r="O5" s="4"/>
      <c r="P5" s="4"/>
      <c r="Q5" s="4"/>
      <c r="R5" s="4"/>
      <c r="S5" s="4"/>
      <c r="T5" s="4"/>
      <c r="V5" s="50"/>
      <c r="W5" t="s">
        <v>23</v>
      </c>
      <c r="Y5" s="52">
        <v>180</v>
      </c>
    </row>
    <row r="6" spans="1:25" x14ac:dyDescent="0.35">
      <c r="A6" s="4" t="s">
        <v>24</v>
      </c>
      <c r="B6" s="9" t="s">
        <v>16</v>
      </c>
      <c r="C6">
        <v>0.86499999999999999</v>
      </c>
      <c r="D6" s="23"/>
      <c r="E6" s="4" t="s">
        <v>25</v>
      </c>
      <c r="F6" s="9" t="s">
        <v>16</v>
      </c>
      <c r="G6">
        <v>4.0999999999999996</v>
      </c>
      <c r="H6" s="23"/>
      <c r="I6" s="18">
        <f>C16/10</f>
        <v>6.7083333333333326E-3</v>
      </c>
      <c r="J6" s="12" cm="1">
        <f t="array" ref="J6">Temperatur_oertlich(C$33+C$35,C$10,I6,C$16,C$25,C$18,C$9)</f>
        <v>19.667386686294993</v>
      </c>
      <c r="K6" s="4"/>
      <c r="L6" s="4"/>
      <c r="M6" s="4"/>
      <c r="N6" s="4"/>
      <c r="O6" s="4"/>
      <c r="P6" s="4"/>
      <c r="Q6" s="4"/>
      <c r="R6" s="4"/>
      <c r="S6" s="4"/>
      <c r="T6" s="4"/>
      <c r="V6" s="50" t="s">
        <v>26</v>
      </c>
      <c r="W6" t="s">
        <v>27</v>
      </c>
      <c r="X6">
        <f>20*0.003/0.001</f>
        <v>60</v>
      </c>
      <c r="Y6" s="52"/>
    </row>
    <row r="7" spans="1:25" x14ac:dyDescent="0.35">
      <c r="A7" s="4" t="s">
        <v>28</v>
      </c>
      <c r="B7" s="9" t="s">
        <v>16</v>
      </c>
      <c r="C7">
        <v>2.3650000000000002</v>
      </c>
      <c r="D7" s="23"/>
      <c r="E7" s="4" t="s">
        <v>29</v>
      </c>
      <c r="F7" s="9" t="s">
        <v>16</v>
      </c>
      <c r="G7">
        <v>4</v>
      </c>
      <c r="H7" s="23"/>
      <c r="I7" s="18">
        <f>I6+I$6</f>
        <v>1.3416666666666665E-2</v>
      </c>
      <c r="J7" s="12" cm="1">
        <f t="array" ref="J7">Temperatur_oertlich(C$33+C$35,C$10,I7,C$16,C$25,C$18,C$9)</f>
        <v>19.649585361455316</v>
      </c>
      <c r="K7" s="4"/>
      <c r="L7" s="4"/>
      <c r="M7" s="4"/>
      <c r="N7" s="4"/>
      <c r="O7" s="4"/>
      <c r="P7" s="4"/>
      <c r="Q7" s="4"/>
      <c r="R7" s="4"/>
      <c r="S7" s="4"/>
      <c r="T7" s="4"/>
      <c r="V7" s="50" t="s">
        <v>30</v>
      </c>
      <c r="W7" t="s">
        <v>31</v>
      </c>
      <c r="X7" s="5">
        <v>25.58111111111111</v>
      </c>
      <c r="Y7" s="52"/>
    </row>
    <row r="8" spans="1:25" x14ac:dyDescent="0.35">
      <c r="A8" s="4" t="s">
        <v>32</v>
      </c>
      <c r="B8" s="9" t="s">
        <v>33</v>
      </c>
      <c r="C8" s="12">
        <f>C6*C7</f>
        <v>2.045725</v>
      </c>
      <c r="D8" s="23"/>
      <c r="E8" s="4" t="s">
        <v>34</v>
      </c>
      <c r="F8" s="9" t="s">
        <v>16</v>
      </c>
      <c r="G8">
        <v>2.875</v>
      </c>
      <c r="H8" s="23"/>
      <c r="I8" s="18">
        <f t="shared" ref="I8:I12" si="0">I7+I$6</f>
        <v>2.0124999999999997E-2</v>
      </c>
      <c r="J8" s="12" cm="1">
        <f t="array" ref="J8">Temperatur_oertlich(C$33+C$35,C$10,I8,C$16,C$25,C$18,C$9)</f>
        <v>19.619916486722524</v>
      </c>
      <c r="K8" s="4"/>
      <c r="L8" s="4"/>
      <c r="M8" s="4"/>
      <c r="N8" s="4"/>
      <c r="O8" s="4"/>
      <c r="P8" s="4"/>
      <c r="Q8" s="4"/>
      <c r="R8" s="4"/>
      <c r="S8" s="4"/>
      <c r="T8" s="4"/>
      <c r="V8" s="50"/>
      <c r="W8" t="s">
        <v>35</v>
      </c>
      <c r="X8" s="5">
        <v>27.325277777777778</v>
      </c>
      <c r="Y8" s="52"/>
    </row>
    <row r="9" spans="1:25" x14ac:dyDescent="0.35">
      <c r="A9" s="4" t="s">
        <v>426</v>
      </c>
      <c r="B9" s="9" t="s">
        <v>16</v>
      </c>
      <c r="C9">
        <v>2E-3</v>
      </c>
      <c r="D9" s="23"/>
      <c r="E9" s="4" t="s">
        <v>37</v>
      </c>
      <c r="F9" s="9" t="s">
        <v>33</v>
      </c>
      <c r="G9" s="16" cm="1">
        <f t="array" ref="G9">Oberfläche_Quader(G6,G7,G8)</f>
        <v>79.375</v>
      </c>
      <c r="H9" s="23"/>
      <c r="I9" s="18">
        <f t="shared" si="0"/>
        <v>2.6833333333333331E-2</v>
      </c>
      <c r="J9" s="12" cm="1">
        <f t="array" ref="J9">Temperatur_oertlich(C$33+C$35,C$10,I9,C$16,C$25,C$18,C$9)</f>
        <v>19.578380062096613</v>
      </c>
      <c r="K9" s="4"/>
      <c r="L9" s="4"/>
      <c r="M9" s="4"/>
      <c r="N9" s="4"/>
      <c r="O9" s="4"/>
      <c r="P9" s="4"/>
      <c r="Q9" s="4"/>
      <c r="R9" s="4"/>
      <c r="S9" s="4"/>
      <c r="T9" s="4"/>
      <c r="V9" s="53"/>
      <c r="W9" s="54" t="s">
        <v>38</v>
      </c>
      <c r="X9" s="55">
        <v>38.953055555555558</v>
      </c>
      <c r="Y9" s="56"/>
    </row>
    <row r="10" spans="1:25" x14ac:dyDescent="0.35">
      <c r="A10" s="4" t="s">
        <v>427</v>
      </c>
      <c r="B10" s="9" t="s">
        <v>16</v>
      </c>
      <c r="C10">
        <v>0.01</v>
      </c>
      <c r="D10" s="23"/>
      <c r="E10" s="4" t="s">
        <v>40</v>
      </c>
      <c r="F10" s="9" t="s">
        <v>15</v>
      </c>
      <c r="G10">
        <v>0.93</v>
      </c>
      <c r="H10" s="23"/>
      <c r="I10" s="18">
        <f t="shared" si="0"/>
        <v>3.3541666666666664E-2</v>
      </c>
      <c r="J10" s="12" cm="1">
        <f t="array" ref="J10">Temperatur_oertlich(C$33+C$35,C$10,I10,C$16,C$25,C$18,C$9)</f>
        <v>19.524976087577581</v>
      </c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5" x14ac:dyDescent="0.35">
      <c r="A11" s="4" t="s">
        <v>41</v>
      </c>
      <c r="B11" s="9" t="s">
        <v>12</v>
      </c>
      <c r="C11">
        <v>60</v>
      </c>
      <c r="D11" s="23"/>
      <c r="E11" s="4" t="s">
        <v>42</v>
      </c>
      <c r="F11" s="9" t="s">
        <v>17</v>
      </c>
      <c r="G11">
        <v>26</v>
      </c>
      <c r="H11" s="23"/>
      <c r="I11" s="18">
        <f t="shared" si="0"/>
        <v>4.0249999999999994E-2</v>
      </c>
      <c r="J11" s="12" cm="1">
        <f t="array" ref="J11">Temperatur_oertlich(C$33+C$35,C$10,I11,C$16,C$25,C$18,C$9)</f>
        <v>19.459704563165438</v>
      </c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5" x14ac:dyDescent="0.35">
      <c r="A12" s="4" t="s">
        <v>428</v>
      </c>
      <c r="B12" s="9" t="s">
        <v>16</v>
      </c>
      <c r="C12">
        <v>3.5000000000000001E-3</v>
      </c>
      <c r="D12" s="23"/>
      <c r="E12" s="23" t="s">
        <v>44</v>
      </c>
      <c r="F12" s="24" t="s">
        <v>45</v>
      </c>
      <c r="G12" s="23">
        <v>0.4</v>
      </c>
      <c r="H12" s="23"/>
      <c r="I12" s="18">
        <f t="shared" si="0"/>
        <v>4.6958333333333324E-2</v>
      </c>
      <c r="J12" s="12" cm="1">
        <f t="array" ref="J12">Temperatur_oertlich(C$33+C$35,C$10,I12,C$16,C$25,C$18,C$9)</f>
        <v>19.382565488860173</v>
      </c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5" x14ac:dyDescent="0.35">
      <c r="A13" s="4" t="s">
        <v>429</v>
      </c>
      <c r="B13" s="9" t="s">
        <v>15</v>
      </c>
      <c r="C13">
        <v>6</v>
      </c>
      <c r="D13" s="23"/>
      <c r="E13" s="23"/>
      <c r="F13" s="24"/>
      <c r="G13" s="23"/>
      <c r="H13" s="23"/>
      <c r="I13" s="18">
        <f>I12+I$6</f>
        <v>5.3666666666666654E-2</v>
      </c>
      <c r="J13" s="12" cm="1">
        <f t="array" ref="J13">Temperatur_oertlich(C$33+C$35,C$10,I13,C$16,C$25,C$18,C$9)</f>
        <v>19.29355886466179</v>
      </c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5" x14ac:dyDescent="0.35">
      <c r="A14" s="4" t="s">
        <v>430</v>
      </c>
      <c r="B14" s="9" t="s">
        <v>15</v>
      </c>
      <c r="C14">
        <v>6</v>
      </c>
      <c r="D14" s="23"/>
      <c r="E14" s="23"/>
      <c r="F14" s="24"/>
      <c r="G14" s="23"/>
      <c r="H14" s="23"/>
      <c r="I14" s="18">
        <f>I13+I$6</f>
        <v>6.0374999999999984E-2</v>
      </c>
      <c r="J14" s="12" cm="1">
        <f t="array" ref="J14">Temperatur_oertlich(C$33+C$35,C$10,I14,C$16,C$25,C$18,C$9)</f>
        <v>19.192684690570292</v>
      </c>
      <c r="K14" s="4"/>
      <c r="L14" s="4"/>
      <c r="M14" s="4"/>
      <c r="N14" s="4"/>
      <c r="O14" s="4"/>
      <c r="P14" s="4"/>
      <c r="Q14" s="4"/>
      <c r="R14" s="4"/>
      <c r="S14" s="4"/>
      <c r="T14" s="4"/>
      <c r="X14" s="5"/>
    </row>
    <row r="15" spans="1:25" x14ac:dyDescent="0.35">
      <c r="A15" s="4" t="s">
        <v>48</v>
      </c>
      <c r="B15" s="9" t="s">
        <v>33</v>
      </c>
      <c r="C15" s="11" cm="1">
        <f t="array" ref="C15">Querschnitt(C10,C6,C12,C13,C14)</f>
        <v>7.8537500000000005E-5</v>
      </c>
      <c r="D15" s="23"/>
      <c r="E15" s="23"/>
      <c r="F15" s="24"/>
      <c r="G15" s="23"/>
      <c r="H15" s="23"/>
      <c r="I15" s="18">
        <f>I14+I$6</f>
        <v>6.7083333333333314E-2</v>
      </c>
      <c r="J15" s="12" cm="1">
        <f t="array" ref="J15">Temperatur_oertlich(C$33+C$35,C$10,I15,C$16,C$25,C$18,C$9)</f>
        <v>19.079942966585676</v>
      </c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5" x14ac:dyDescent="0.35">
      <c r="A16" s="4" t="s">
        <v>49</v>
      </c>
      <c r="B16" s="9" t="s">
        <v>16</v>
      </c>
      <c r="C16" s="18">
        <f>(C6-C13*C10)/(C13*2)</f>
        <v>6.7083333333333328E-2</v>
      </c>
      <c r="D16" s="23"/>
      <c r="E16" s="23"/>
      <c r="F16" s="24"/>
      <c r="G16" s="23"/>
      <c r="H16" s="23"/>
      <c r="I16" s="18">
        <f>I15+C10</f>
        <v>7.7083333333333309E-2</v>
      </c>
      <c r="J16" s="12">
        <f>J15</f>
        <v>19.079942966585676</v>
      </c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2" x14ac:dyDescent="0.35">
      <c r="A17" s="62" t="s">
        <v>50</v>
      </c>
      <c r="B17" s="24"/>
      <c r="C17" s="23"/>
      <c r="D17" s="23"/>
      <c r="E17" s="23"/>
      <c r="F17" s="24"/>
      <c r="G17" s="23"/>
      <c r="H17" s="23"/>
      <c r="I17" s="18">
        <f t="shared" ref="I17:I23" si="1">I16+I$6</f>
        <v>8.3791666666666639E-2</v>
      </c>
      <c r="J17" s="12">
        <f>J14</f>
        <v>19.192684690570292</v>
      </c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2" x14ac:dyDescent="0.35">
      <c r="A18" s="4" t="s">
        <v>51</v>
      </c>
      <c r="B18" s="9" t="s">
        <v>52</v>
      </c>
      <c r="C18">
        <v>200</v>
      </c>
      <c r="D18" s="23"/>
      <c r="E18" s="4" t="s">
        <v>53</v>
      </c>
      <c r="F18" s="9" t="s">
        <v>15</v>
      </c>
      <c r="G18">
        <v>0.93</v>
      </c>
      <c r="H18" s="23"/>
      <c r="I18" s="18">
        <f t="shared" si="1"/>
        <v>9.0499999999999969E-2</v>
      </c>
      <c r="J18" s="12">
        <f>J13</f>
        <v>19.29355886466179</v>
      </c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2" x14ac:dyDescent="0.35">
      <c r="A19" s="4" t="s">
        <v>54</v>
      </c>
      <c r="B19" s="9" t="s">
        <v>55</v>
      </c>
      <c r="C19" s="16" cm="1">
        <f t="array" ref="C19">rho_sat_Wasser(C24)</f>
        <v>998.39060518823999</v>
      </c>
      <c r="D19" s="23"/>
      <c r="E19" s="4" t="s">
        <v>56</v>
      </c>
      <c r="F19" s="9" t="s">
        <v>15</v>
      </c>
      <c r="G19" s="10">
        <f>G18</f>
        <v>0.93</v>
      </c>
      <c r="H19" s="23"/>
      <c r="I19" s="18">
        <f t="shared" si="1"/>
        <v>9.7208333333333299E-2</v>
      </c>
      <c r="J19" s="12">
        <f>J12</f>
        <v>19.382565488860173</v>
      </c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2" x14ac:dyDescent="0.35">
      <c r="A20" s="4" t="s">
        <v>57</v>
      </c>
      <c r="B20" s="9" t="s">
        <v>12</v>
      </c>
      <c r="C20" s="12" cm="1">
        <f t="array" ref="C20">lamda_sat_Wasser(C24)</f>
        <v>0.59553496250959992</v>
      </c>
      <c r="D20" s="23"/>
      <c r="E20" s="23"/>
      <c r="F20" s="24"/>
      <c r="G20" s="23"/>
      <c r="H20" s="23"/>
      <c r="I20" s="18">
        <f t="shared" si="1"/>
        <v>0.10391666666666663</v>
      </c>
      <c r="J20" s="12">
        <f>J11</f>
        <v>19.459704563165438</v>
      </c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2" x14ac:dyDescent="0.35">
      <c r="A21" s="4" t="s">
        <v>58</v>
      </c>
      <c r="B21" s="9" t="s">
        <v>59</v>
      </c>
      <c r="C21" s="11" cm="1">
        <f t="array" ref="C21">ny_sat_Wasser(C24)</f>
        <v>1.0949925624666294E-6</v>
      </c>
      <c r="D21" s="23"/>
      <c r="E21" s="23"/>
      <c r="F21" s="24"/>
      <c r="G21" s="23"/>
      <c r="H21" s="23"/>
      <c r="I21" s="18">
        <f t="shared" si="1"/>
        <v>0.11062499999999996</v>
      </c>
      <c r="J21" s="12">
        <f>J10</f>
        <v>19.524976087577581</v>
      </c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2" x14ac:dyDescent="0.35">
      <c r="A22" s="4" t="s">
        <v>60</v>
      </c>
      <c r="B22" s="9" t="s">
        <v>61</v>
      </c>
      <c r="C22" s="16" cm="1">
        <f t="array" ref="C22">cp_sat_Wasser(C24)</f>
        <v>4189.6574657092797</v>
      </c>
      <c r="D22" s="23"/>
      <c r="E22" s="23"/>
      <c r="F22" s="24"/>
      <c r="G22" s="23"/>
      <c r="H22" s="23"/>
      <c r="I22" s="18">
        <f t="shared" si="1"/>
        <v>0.11733333333333329</v>
      </c>
      <c r="J22" s="12">
        <f>J9</f>
        <v>19.578380062096613</v>
      </c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2" x14ac:dyDescent="0.35">
      <c r="A23" s="62" t="s">
        <v>62</v>
      </c>
      <c r="B23" s="24"/>
      <c r="C23" s="23"/>
      <c r="D23" s="23"/>
      <c r="E23" s="23" t="s">
        <v>63</v>
      </c>
      <c r="F23" s="24"/>
      <c r="G23" s="23"/>
      <c r="H23" s="23"/>
      <c r="I23" s="18">
        <f t="shared" si="1"/>
        <v>0.12404166666666662</v>
      </c>
      <c r="J23" s="12">
        <f>J8</f>
        <v>19.619916486722524</v>
      </c>
      <c r="K23" s="4"/>
      <c r="L23" s="57"/>
      <c r="M23" s="4"/>
      <c r="N23" s="4"/>
      <c r="O23" s="4"/>
      <c r="P23" s="4"/>
      <c r="Q23" s="4"/>
      <c r="R23" s="4"/>
      <c r="S23" s="4"/>
      <c r="T23" s="4"/>
    </row>
    <row r="24" spans="1:22" x14ac:dyDescent="0.35">
      <c r="A24" s="4" t="s">
        <v>64</v>
      </c>
      <c r="B24" s="9" t="s">
        <v>17</v>
      </c>
      <c r="C24">
        <v>18</v>
      </c>
      <c r="D24" s="23"/>
      <c r="E24" s="4" t="s">
        <v>65</v>
      </c>
      <c r="F24" s="9" t="s">
        <v>66</v>
      </c>
      <c r="G24">
        <v>198.2</v>
      </c>
      <c r="H24" s="23"/>
      <c r="I24" s="18">
        <f>I23+I$6</f>
        <v>0.13074999999999995</v>
      </c>
      <c r="J24" s="12">
        <f>J7</f>
        <v>19.649585361455316</v>
      </c>
      <c r="K24" s="4"/>
      <c r="L24" s="57"/>
      <c r="M24" s="4"/>
      <c r="N24" s="4"/>
      <c r="O24" s="4"/>
      <c r="P24" s="4"/>
      <c r="Q24" s="4"/>
      <c r="R24" s="4"/>
      <c r="S24" s="4"/>
      <c r="T24" s="4"/>
    </row>
    <row r="25" spans="1:22" x14ac:dyDescent="0.35">
      <c r="A25" s="4" t="s">
        <v>67</v>
      </c>
      <c r="B25" s="9" t="s">
        <v>68</v>
      </c>
      <c r="C25" s="16" cm="1">
        <f t="array" ref="C25">qs_Kuehlsegel(C3,C4,G11,C24)</f>
        <v>105.48526273578479</v>
      </c>
      <c r="D25" s="23"/>
      <c r="E25" s="23"/>
      <c r="F25" s="23" t="s">
        <v>70</v>
      </c>
      <c r="G25" s="18">
        <f>G24/C8/3600</f>
        <v>2.6912490953356658E-2</v>
      </c>
      <c r="H25" s="23"/>
      <c r="I25" s="18">
        <f t="shared" ref="I25" si="2">I24+I$6</f>
        <v>0.13745833333333329</v>
      </c>
      <c r="J25" s="12">
        <f>J6</f>
        <v>19.667386686294993</v>
      </c>
      <c r="K25" s="4"/>
      <c r="L25" s="57"/>
      <c r="M25" s="4"/>
      <c r="N25" s="4"/>
      <c r="O25" s="4"/>
      <c r="P25" s="4"/>
      <c r="Q25" s="4"/>
      <c r="R25" s="4"/>
      <c r="S25" s="4"/>
      <c r="T25" s="4"/>
    </row>
    <row r="26" spans="1:22" x14ac:dyDescent="0.35">
      <c r="A26" s="4" t="s">
        <v>69</v>
      </c>
      <c r="B26" s="9" t="s">
        <v>70</v>
      </c>
      <c r="C26" s="18">
        <f>G24/3600/C8</f>
        <v>2.6912490953356658E-2</v>
      </c>
      <c r="D26" s="23"/>
      <c r="E26" s="23"/>
      <c r="F26" s="23"/>
      <c r="G26" s="23"/>
      <c r="H26" s="23"/>
      <c r="I26" s="18">
        <f>I25+I$6</f>
        <v>0.14416666666666664</v>
      </c>
      <c r="J26" s="12">
        <f>J5</f>
        <v>19.673320461241552</v>
      </c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2" x14ac:dyDescent="0.35">
      <c r="A27" s="4" t="s">
        <v>71</v>
      </c>
      <c r="B27" s="9" t="s">
        <v>72</v>
      </c>
      <c r="C27" s="11" cm="1">
        <f t="array" ref="C27">Volumenstrom(C26*C6*C7,C24)</f>
        <v>5.5144304513137117E-5</v>
      </c>
      <c r="D27" s="23"/>
      <c r="E27" s="23"/>
      <c r="F27" s="23"/>
      <c r="G27" s="23"/>
      <c r="H27" s="23"/>
      <c r="I27" s="20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2" x14ac:dyDescent="0.35">
      <c r="A28" s="4" t="s">
        <v>73</v>
      </c>
      <c r="B28" s="9" t="s">
        <v>74</v>
      </c>
      <c r="C28" s="12" cm="1">
        <f t="array" ref="C28">Fliessgeschwindigkeit(C27,C15)</f>
        <v>0.70213979962612905</v>
      </c>
      <c r="D28" s="23"/>
      <c r="E28" s="23"/>
      <c r="F28" s="23"/>
      <c r="G28" s="23"/>
      <c r="H28" s="23"/>
      <c r="I28" s="20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2" x14ac:dyDescent="0.35">
      <c r="A29" s="4" t="s">
        <v>75</v>
      </c>
      <c r="B29" s="9" t="s">
        <v>15</v>
      </c>
      <c r="C29" s="16" cm="1">
        <f t="array" ref="C29">Reynoldszahl_Kanal(C28,C10,C12,C21)</f>
        <v>6412.2791669420794</v>
      </c>
      <c r="D29" s="33"/>
      <c r="E29" s="23"/>
      <c r="F29" s="24"/>
      <c r="G29" s="23"/>
      <c r="H29" s="33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2" x14ac:dyDescent="0.35">
      <c r="A30" s="4" t="s">
        <v>76</v>
      </c>
      <c r="B30" s="9" t="s">
        <v>15</v>
      </c>
      <c r="C30" s="12">
        <f>C22*C21*C19/C20</f>
        <v>7.6910017421324</v>
      </c>
      <c r="D30" s="23"/>
      <c r="E30" s="33"/>
      <c r="F30" s="59"/>
      <c r="G30" s="33"/>
      <c r="H30" s="23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V30" s="60"/>
    </row>
    <row r="31" spans="1:22" x14ac:dyDescent="0.35">
      <c r="A31" s="4" t="s">
        <v>77</v>
      </c>
      <c r="B31" s="9" t="s">
        <v>15</v>
      </c>
      <c r="C31" s="12" cm="1">
        <f t="array" ref="C31">Nu_Rohrstroemung(C29,C30)</f>
        <v>46.057857181086696</v>
      </c>
      <c r="D31" s="23"/>
      <c r="E31" s="23"/>
      <c r="F31" s="24"/>
      <c r="G31" s="23"/>
      <c r="H31" s="23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V31" s="60"/>
    </row>
    <row r="32" spans="1:22" ht="16.5" x14ac:dyDescent="0.35">
      <c r="A32" s="4" t="s">
        <v>78</v>
      </c>
      <c r="B32" s="9" t="s">
        <v>79</v>
      </c>
      <c r="C32" s="16" cm="1">
        <f t="array" ref="C32">alpha_Rohrstroemung(C31,C20,C10,C12)</f>
        <v>2742.9064249610974</v>
      </c>
      <c r="D32" s="23"/>
      <c r="E32" s="23"/>
      <c r="F32" s="24"/>
      <c r="G32" s="23"/>
      <c r="H32" s="23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V32" s="60"/>
    </row>
    <row r="33" spans="1:22" x14ac:dyDescent="0.35">
      <c r="A33" s="4" t="s">
        <v>80</v>
      </c>
      <c r="B33" s="9" t="s">
        <v>17</v>
      </c>
      <c r="C33" s="12" cm="1">
        <f t="array" ref="C33">Temperatur_Basis(C24,C16,C10,C32,C11,C18,C9,C25)</f>
        <v>18.429942966585678</v>
      </c>
      <c r="D33" s="23"/>
      <c r="E33" s="23"/>
      <c r="F33" s="24"/>
      <c r="G33" s="23"/>
      <c r="H33" s="23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V33" s="60"/>
    </row>
    <row r="34" spans="1:22" x14ac:dyDescent="0.35">
      <c r="A34" s="4" t="s">
        <v>81</v>
      </c>
      <c r="B34" s="9" t="s">
        <v>13</v>
      </c>
      <c r="C34" s="16">
        <f>1/(C37/C25)</f>
        <v>72.84448410919822</v>
      </c>
      <c r="D34" s="23"/>
      <c r="E34" s="23"/>
      <c r="F34" s="24"/>
      <c r="G34" s="23"/>
      <c r="H34" s="23"/>
      <c r="I34" s="9" t="s">
        <v>82</v>
      </c>
      <c r="J34" s="47" t="s">
        <v>83</v>
      </c>
      <c r="K34" s="47" t="s">
        <v>84</v>
      </c>
      <c r="L34" s="47" t="s">
        <v>85</v>
      </c>
      <c r="M34" s="47" t="s">
        <v>86</v>
      </c>
      <c r="N34" s="4"/>
      <c r="O34" s="4"/>
      <c r="P34" s="4"/>
      <c r="Q34" s="4"/>
      <c r="R34" s="4"/>
      <c r="S34" s="4"/>
      <c r="T34" s="4"/>
      <c r="V34" s="60"/>
    </row>
    <row r="35" spans="1:22" x14ac:dyDescent="0.35">
      <c r="A35" s="4" t="s">
        <v>87</v>
      </c>
      <c r="B35" s="9" t="s">
        <v>45</v>
      </c>
      <c r="C35">
        <v>0.65</v>
      </c>
      <c r="D35" s="23" t="s">
        <v>88</v>
      </c>
      <c r="E35" s="23"/>
      <c r="F35" s="24"/>
      <c r="G35" s="23"/>
      <c r="H35" s="23"/>
      <c r="I35" s="9" t="s">
        <v>16</v>
      </c>
      <c r="J35" s="9" t="s">
        <v>17</v>
      </c>
      <c r="K35" s="9" t="s">
        <v>17</v>
      </c>
      <c r="L35" s="9" t="s">
        <v>17</v>
      </c>
      <c r="M35" s="9" t="s">
        <v>17</v>
      </c>
      <c r="N35" s="4"/>
      <c r="O35" s="4"/>
      <c r="P35" s="4"/>
      <c r="Q35" s="4"/>
      <c r="R35" s="4"/>
      <c r="S35" s="4"/>
      <c r="T35" s="4"/>
      <c r="V35" s="60"/>
    </row>
    <row r="36" spans="1:22" x14ac:dyDescent="0.35">
      <c r="A36" s="4" t="s">
        <v>89</v>
      </c>
      <c r="B36" s="9" t="s">
        <v>17</v>
      </c>
      <c r="C36" s="12" cm="1">
        <f t="array" ref="C36">Temperatur_Mittelwert(C24,C25,C10,C16,C11,C32,C18,C9,C35,C25)</f>
        <v>19.448088541304735</v>
      </c>
      <c r="D36" s="23"/>
      <c r="E36" s="23"/>
      <c r="F36" s="24"/>
      <c r="G36" s="23"/>
      <c r="H36" s="23"/>
      <c r="I36" s="61">
        <v>0</v>
      </c>
      <c r="J36" s="61">
        <f>C24</f>
        <v>18</v>
      </c>
      <c r="K36" s="61">
        <f>C33</f>
        <v>18.429942966585678</v>
      </c>
      <c r="L36" s="61">
        <f>C36</f>
        <v>19.448088541304735</v>
      </c>
      <c r="M36" s="61">
        <f>G11</f>
        <v>26</v>
      </c>
      <c r="N36" s="4"/>
      <c r="O36" s="4"/>
      <c r="P36" s="4"/>
      <c r="Q36" s="4"/>
      <c r="R36" s="4"/>
      <c r="S36" s="4"/>
      <c r="T36" s="4"/>
      <c r="V36" s="60"/>
    </row>
    <row r="37" spans="1:22" x14ac:dyDescent="0.35">
      <c r="A37" s="4" t="s">
        <v>90</v>
      </c>
      <c r="B37" s="9" t="s">
        <v>45</v>
      </c>
      <c r="C37" s="12">
        <f>C36-C24</f>
        <v>1.4480885413047346</v>
      </c>
      <c r="D37" s="23"/>
      <c r="E37" s="23"/>
      <c r="F37" s="24"/>
      <c r="G37" s="23"/>
      <c r="H37" s="23"/>
      <c r="I37" s="61">
        <f>I26</f>
        <v>0.14416666666666664</v>
      </c>
      <c r="J37" s="61">
        <f>J36</f>
        <v>18</v>
      </c>
      <c r="K37" s="61">
        <f>K36</f>
        <v>18.429942966585678</v>
      </c>
      <c r="L37" s="61">
        <f>L36</f>
        <v>19.448088541304735</v>
      </c>
      <c r="M37" s="61">
        <f>M36</f>
        <v>26</v>
      </c>
      <c r="N37" s="4"/>
      <c r="O37" s="4"/>
      <c r="P37" s="4"/>
      <c r="Q37" s="4"/>
      <c r="R37" s="4"/>
      <c r="S37" s="4"/>
      <c r="T37" s="4"/>
      <c r="V37" s="60"/>
    </row>
    <row r="38" spans="1:22" x14ac:dyDescent="0.35">
      <c r="A38" s="23" t="s">
        <v>91</v>
      </c>
      <c r="B38" s="24"/>
      <c r="C38" s="23"/>
      <c r="D38" s="23"/>
      <c r="E38" s="23"/>
      <c r="F38" s="24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V38" s="60"/>
    </row>
    <row r="39" spans="1:22" x14ac:dyDescent="0.35">
      <c r="A39" s="4" t="s">
        <v>25</v>
      </c>
      <c r="B39" s="9" t="s">
        <v>16</v>
      </c>
      <c r="C39">
        <v>0.86499999999999999</v>
      </c>
      <c r="D39" s="4"/>
      <c r="E39" s="4"/>
      <c r="F39" s="9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6" t="s">
        <v>92</v>
      </c>
      <c r="T39" s="6" t="s">
        <v>93</v>
      </c>
      <c r="V39" s="5"/>
    </row>
    <row r="40" spans="1:22" x14ac:dyDescent="0.35">
      <c r="A40" s="4" t="s">
        <v>29</v>
      </c>
      <c r="B40" s="9" t="s">
        <v>16</v>
      </c>
      <c r="C40">
        <v>2.3650000000000002</v>
      </c>
      <c r="D40" s="4"/>
      <c r="E40" s="4"/>
      <c r="F40" s="9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6" t="s">
        <v>15</v>
      </c>
      <c r="T40" s="6" t="s">
        <v>15</v>
      </c>
    </row>
    <row r="41" spans="1:22" x14ac:dyDescent="0.35">
      <c r="A41" s="4" t="s">
        <v>94</v>
      </c>
      <c r="B41" s="9" t="s">
        <v>16</v>
      </c>
      <c r="C41">
        <v>6.4000000000000005E-4</v>
      </c>
      <c r="D41" s="4"/>
      <c r="E41" s="4"/>
      <c r="F41" s="9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>
        <v>100</v>
      </c>
      <c r="T41" s="5" cm="1">
        <f t="array" ref="T41">Nu_Rohrstroemung(S41,C$30)</f>
        <v>4.3600000000000003</v>
      </c>
    </row>
    <row r="42" spans="1:22" x14ac:dyDescent="0.35">
      <c r="A42" s="4" t="s">
        <v>95</v>
      </c>
      <c r="B42" s="9" t="s">
        <v>96</v>
      </c>
      <c r="C42" s="11">
        <f>C39*C40*C41</f>
        <v>1.3092640000000001E-3</v>
      </c>
      <c r="D42" s="4"/>
      <c r="E42" s="4"/>
      <c r="F42" s="9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>
        <v>500</v>
      </c>
      <c r="T42" s="5" cm="1">
        <f t="array" ref="T42">Nu_Rohrstroemung(S42,C$30)</f>
        <v>4.3600000000000003</v>
      </c>
    </row>
    <row r="43" spans="1:22" x14ac:dyDescent="0.35">
      <c r="A43" s="4" t="s">
        <v>97</v>
      </c>
      <c r="B43" s="9" t="s">
        <v>55</v>
      </c>
      <c r="C43">
        <v>7700</v>
      </c>
      <c r="D43" s="4"/>
      <c r="E43" s="4"/>
      <c r="F43" s="9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>
        <v>1700</v>
      </c>
      <c r="T43" s="5" cm="1">
        <f t="array" ref="T43">Nu_Rohrstroemung(S43,C$30)</f>
        <v>4.3600000000000003</v>
      </c>
    </row>
    <row r="44" spans="1:22" x14ac:dyDescent="0.35">
      <c r="A44" s="4" t="s">
        <v>98</v>
      </c>
      <c r="B44" s="9" t="s">
        <v>55</v>
      </c>
      <c r="C44" s="12">
        <f>2*C42*C43</f>
        <v>20.1626656</v>
      </c>
      <c r="D44" s="4"/>
      <c r="E44" s="4"/>
      <c r="F44" s="9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>
        <v>1900</v>
      </c>
      <c r="T44" s="5" cm="1">
        <f t="array" ref="T44">Nu_Rohrstroemung(S44,C$30)</f>
        <v>4.3600000000000003</v>
      </c>
    </row>
    <row r="45" spans="1:22" x14ac:dyDescent="0.35">
      <c r="A45" s="4" t="s">
        <v>99</v>
      </c>
      <c r="B45" s="9" t="s">
        <v>55</v>
      </c>
      <c r="C45">
        <v>25.2</v>
      </c>
      <c r="D45" s="4"/>
      <c r="E45" s="4"/>
      <c r="F45" s="9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>
        <v>2100</v>
      </c>
      <c r="T45" s="5" cm="1">
        <f t="array" ref="T45">Nu_Rohrstroemung(S45,C$30)</f>
        <v>4.3600000000000003</v>
      </c>
    </row>
    <row r="46" spans="1:22" x14ac:dyDescent="0.35">
      <c r="A46" s="4" t="s">
        <v>100</v>
      </c>
      <c r="B46" s="9" t="s">
        <v>55</v>
      </c>
      <c r="C46" s="16" cm="1">
        <f t="array" ref="C46">rho_sat_Wasser(C24)</f>
        <v>998.39060518823999</v>
      </c>
      <c r="D46" s="4"/>
      <c r="E46" s="4"/>
      <c r="F46" s="9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>
        <v>2300</v>
      </c>
      <c r="T46" s="5" cm="1">
        <f t="array" ref="T46">Nu_Rohrstroemung(S46,C$30)</f>
        <v>4.3600000000000003</v>
      </c>
    </row>
    <row r="47" spans="1:22" x14ac:dyDescent="0.35">
      <c r="A47" s="4" t="s">
        <v>101</v>
      </c>
      <c r="B47" s="9" t="s">
        <v>96</v>
      </c>
      <c r="C47" s="11">
        <f>(C45-C44)/C46</f>
        <v>5.0454545283408819E-3</v>
      </c>
      <c r="D47" s="4"/>
      <c r="E47" s="4"/>
      <c r="F47" s="9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>
        <v>2500</v>
      </c>
      <c r="T47" s="5" cm="1">
        <f t="array" ref="T47">Nu_Rohrstroemung(S47,C$30)</f>
        <v>6.3879682136509004</v>
      </c>
    </row>
    <row r="48" spans="1:22" x14ac:dyDescent="0.35">
      <c r="A48" s="4" t="s">
        <v>102</v>
      </c>
      <c r="B48" s="9" t="s">
        <v>15</v>
      </c>
      <c r="C48" s="11">
        <v>0.7</v>
      </c>
      <c r="D48" s="4"/>
      <c r="E48" s="4"/>
      <c r="F48" s="9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>
        <v>2700</v>
      </c>
      <c r="T48" s="5" cm="1">
        <f t="array" ref="T48">Nu_Rohrstroemung(S48,C$30)</f>
        <v>8.4159364273018014</v>
      </c>
    </row>
    <row r="49" spans="1:20" x14ac:dyDescent="0.35">
      <c r="A49" s="4" t="s">
        <v>103</v>
      </c>
      <c r="B49" s="9" t="s">
        <v>16</v>
      </c>
      <c r="C49" s="71">
        <f>C47/(C39*C40)/C48</f>
        <v>3.5233436475303952E-3</v>
      </c>
      <c r="D49" s="4" t="s">
        <v>104</v>
      </c>
      <c r="E49" s="4"/>
      <c r="F49" s="9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>
        <v>2900</v>
      </c>
      <c r="T49" s="5" cm="1">
        <f t="array" ref="T49">Nu_Rohrstroemung(S49,C$30)</f>
        <v>10.443904640952699</v>
      </c>
    </row>
    <row r="50" spans="1:20" x14ac:dyDescent="0.35">
      <c r="A50" s="4"/>
      <c r="B50" s="9"/>
      <c r="C50" s="4"/>
      <c r="D50" s="4"/>
      <c r="E50" s="4"/>
      <c r="F50" s="9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>
        <v>3100</v>
      </c>
      <c r="T50" s="5" cm="1">
        <f t="array" ref="T50">Nu_Rohrstroemung(S50,C$30)</f>
        <v>12.4718728546036</v>
      </c>
    </row>
    <row r="51" spans="1:20" x14ac:dyDescent="0.35">
      <c r="S51">
        <v>3300</v>
      </c>
      <c r="T51" s="5" cm="1">
        <f t="array" ref="T51">Nu_Rohrstroemung(S51,C$30)</f>
        <v>14.499841068254501</v>
      </c>
    </row>
    <row r="52" spans="1:20" x14ac:dyDescent="0.35">
      <c r="S52">
        <v>3500</v>
      </c>
      <c r="T52" s="5" cm="1">
        <f t="array" ref="T52">Nu_Rohrstroemung(S52,C$30)</f>
        <v>16.527809281905398</v>
      </c>
    </row>
    <row r="53" spans="1:20" x14ac:dyDescent="0.35">
      <c r="S53">
        <v>3700</v>
      </c>
      <c r="T53" s="5" cm="1">
        <f t="array" ref="T53">Nu_Rohrstroemung(S53,C$30)</f>
        <v>18.555777495556299</v>
      </c>
    </row>
    <row r="54" spans="1:20" x14ac:dyDescent="0.35">
      <c r="S54">
        <v>3900</v>
      </c>
      <c r="T54" s="5" cm="1">
        <f t="array" ref="T54">Nu_Rohrstroemung(S54,C$30)</f>
        <v>20.5837457092072</v>
      </c>
    </row>
    <row r="55" spans="1:20" x14ac:dyDescent="0.35">
      <c r="S55">
        <v>4100</v>
      </c>
      <c r="T55" s="5" cm="1">
        <f t="array" ref="T55">Nu_Rohrstroemung(S55,C$30)</f>
        <v>22.611713922858097</v>
      </c>
    </row>
    <row r="56" spans="1:20" x14ac:dyDescent="0.35">
      <c r="S56">
        <v>4500</v>
      </c>
      <c r="T56" s="5" cm="1">
        <f t="array" ref="T56">Nu_Rohrstroemung(S56,C$30)</f>
        <v>26.667650350159899</v>
      </c>
    </row>
    <row r="57" spans="1:20" x14ac:dyDescent="0.35">
      <c r="S57">
        <v>5000</v>
      </c>
      <c r="T57" s="5" cm="1">
        <f t="array" ref="T57">Nu_Rohrstroemung(S57,C$30)</f>
        <v>31.737570884287148</v>
      </c>
    </row>
    <row r="58" spans="1:20" x14ac:dyDescent="0.35">
      <c r="S58">
        <v>5500</v>
      </c>
      <c r="T58" s="5" cm="1">
        <f t="array" ref="T58">Nu_Rohrstroemung(S58,C$30)</f>
        <v>36.807491418414401</v>
      </c>
    </row>
    <row r="59" spans="1:20" x14ac:dyDescent="0.35">
      <c r="S59">
        <v>6000</v>
      </c>
      <c r="T59" s="5" cm="1">
        <f t="array" ref="T59">Nu_Rohrstroemung(S59,C$30)</f>
        <v>41.877411952541649</v>
      </c>
    </row>
    <row r="60" spans="1:20" x14ac:dyDescent="0.35">
      <c r="S60">
        <v>6500</v>
      </c>
      <c r="T60" s="5" cm="1">
        <f t="array" ref="T60">Nu_Rohrstroemung(S60,C$30)</f>
        <v>46.947332486668898</v>
      </c>
    </row>
    <row r="61" spans="1:20" x14ac:dyDescent="0.35">
      <c r="S61">
        <v>7000</v>
      </c>
      <c r="T61" s="5" cm="1">
        <f t="array" ref="T61">Nu_Rohrstroemung(S61,C$30)</f>
        <v>52.017253020796147</v>
      </c>
    </row>
    <row r="62" spans="1:20" x14ac:dyDescent="0.35">
      <c r="S62">
        <v>8000</v>
      </c>
      <c r="T62" s="5" cm="1">
        <f t="array" ref="T62">Nu_Rohrstroemung(S62,C$30)</f>
        <v>62.157094089050645</v>
      </c>
    </row>
    <row r="63" spans="1:20" x14ac:dyDescent="0.35">
      <c r="S63">
        <v>10000</v>
      </c>
      <c r="T63" s="5" cm="1">
        <f t="array" ref="T63">Nu_Rohrstroemung(S63,C$30)</f>
        <v>82.43677622555964</v>
      </c>
    </row>
    <row r="64" spans="1:20" x14ac:dyDescent="0.35">
      <c r="S64">
        <v>12000</v>
      </c>
      <c r="T64" s="5" cm="1">
        <f t="array" ref="T64">Nu_Rohrstroemung(S64,C$30)</f>
        <v>95.381906028991935</v>
      </c>
    </row>
    <row r="65" spans="19:20" x14ac:dyDescent="0.35">
      <c r="S65">
        <v>14000</v>
      </c>
      <c r="T65" s="5" cm="1">
        <f t="array" ref="T65">Nu_Rohrstroemung(S65,C$30)</f>
        <v>107.90049286643112</v>
      </c>
    </row>
    <row r="66" spans="19:20" x14ac:dyDescent="0.35">
      <c r="S66">
        <v>16000</v>
      </c>
      <c r="T66" s="5" cm="1">
        <f t="array" ref="T66">Nu_Rohrstroemung(S66,C$30)</f>
        <v>120.06515504730027</v>
      </c>
    </row>
    <row r="67" spans="19:20" x14ac:dyDescent="0.35">
      <c r="S67">
        <v>18000</v>
      </c>
      <c r="T67" s="5" cm="1">
        <f t="array" ref="T67">Nu_Rohrstroemung(S67,C$30)</f>
        <v>131.92861524231023</v>
      </c>
    </row>
    <row r="68" spans="19:20" x14ac:dyDescent="0.35">
      <c r="S68">
        <v>20000</v>
      </c>
      <c r="T68" s="5" cm="1">
        <f t="array" ref="T68">Nu_Rohrstroemung(S68,C$30)</f>
        <v>143.53076395895499</v>
      </c>
    </row>
    <row r="69" spans="19:20" x14ac:dyDescent="0.35">
      <c r="S69">
        <v>50000</v>
      </c>
      <c r="T69" s="5" cm="1">
        <f t="array" ref="T69">Nu_Rohrstroemung(S69,C$30)</f>
        <v>298.74249473717288</v>
      </c>
    </row>
    <row r="70" spans="19:20" x14ac:dyDescent="0.35">
      <c r="S70">
        <v>100000</v>
      </c>
      <c r="T70" s="5" cm="1">
        <f t="array" ref="T70">Nu_Rohrstroemung(S70,C$30)</f>
        <v>520.14089414787054</v>
      </c>
    </row>
  </sheetData>
  <pageMargins left="0.7" right="0.7" top="0.75" bottom="0.75" header="0.3" footer="0.3"/>
  <pageSetup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53755-42DB-4951-891A-ADB2D907B04C}">
  <sheetPr codeName="Sheet14">
    <tabColor theme="7" tint="0.79998168889431442"/>
  </sheetPr>
  <dimension ref="A1:AC70"/>
  <sheetViews>
    <sheetView zoomScale="145" zoomScaleNormal="145" workbookViewId="0">
      <selection activeCell="C9" sqref="C9:C14"/>
    </sheetView>
  </sheetViews>
  <sheetFormatPr defaultColWidth="8.6328125" defaultRowHeight="14.5" x14ac:dyDescent="0.35"/>
  <cols>
    <col min="1" max="1" width="53.36328125" customWidth="1"/>
    <col min="2" max="2" width="8.6328125" style="6"/>
    <col min="3" max="3" width="12" bestFit="1" customWidth="1"/>
    <col min="4" max="7" width="12" customWidth="1"/>
    <col min="8" max="8" width="2.90625" customWidth="1"/>
    <col min="9" max="9" width="31" customWidth="1"/>
    <col min="10" max="10" width="8.6328125" style="6"/>
    <col min="11" max="11" width="11.54296875" customWidth="1"/>
    <col min="12" max="12" width="2.6328125" customWidth="1"/>
    <col min="13" max="13" width="9.08984375" customWidth="1"/>
    <col min="26" max="26" width="19.6328125" customWidth="1"/>
    <col min="27" max="27" width="52.36328125" customWidth="1"/>
  </cols>
  <sheetData>
    <row r="1" spans="1:29" ht="18.5" x14ac:dyDescent="0.45">
      <c r="A1" s="7" t="s">
        <v>105</v>
      </c>
      <c r="B1" s="21"/>
      <c r="C1" s="22" t="s">
        <v>1</v>
      </c>
      <c r="D1" s="22" t="s">
        <v>2</v>
      </c>
      <c r="E1" s="22"/>
      <c r="F1" s="22"/>
      <c r="G1" s="22"/>
      <c r="H1" s="22"/>
      <c r="I1" s="22"/>
      <c r="J1" s="21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Z1" s="42" t="s">
        <v>3</v>
      </c>
      <c r="AA1" s="42"/>
      <c r="AB1" s="42"/>
      <c r="AC1" s="42"/>
    </row>
    <row r="2" spans="1:29" x14ac:dyDescent="0.35">
      <c r="A2" s="23" t="s">
        <v>4</v>
      </c>
      <c r="B2" s="24"/>
      <c r="C2" s="23"/>
      <c r="D2" s="23"/>
      <c r="E2" s="23"/>
      <c r="F2" s="23"/>
      <c r="G2" s="23"/>
      <c r="H2" s="23"/>
      <c r="I2" s="23"/>
      <c r="J2" s="24"/>
      <c r="K2" s="23"/>
      <c r="L2" s="23"/>
      <c r="M2" s="4" t="s">
        <v>5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Z2" s="43"/>
      <c r="AA2" s="44"/>
      <c r="AB2" s="45" t="s">
        <v>6</v>
      </c>
      <c r="AC2" s="46" t="s">
        <v>7</v>
      </c>
    </row>
    <row r="3" spans="1:29" ht="16.5" x14ac:dyDescent="0.35">
      <c r="A3" s="4" t="s">
        <v>8</v>
      </c>
      <c r="B3" s="9" t="s">
        <v>9</v>
      </c>
      <c r="C3" s="18">
        <f>EXP(D4)</f>
        <v>10.424897458235773</v>
      </c>
      <c r="D3" s="23"/>
      <c r="E3" s="23"/>
      <c r="F3" s="23"/>
      <c r="G3" s="23"/>
      <c r="H3" s="23"/>
      <c r="I3" s="23"/>
      <c r="J3" s="24"/>
      <c r="K3" s="24"/>
      <c r="L3" s="23"/>
      <c r="M3" s="9" t="s">
        <v>10</v>
      </c>
      <c r="N3" s="47" t="s">
        <v>11</v>
      </c>
      <c r="O3" s="4"/>
      <c r="P3" s="4"/>
      <c r="Q3" s="4"/>
      <c r="R3" s="4"/>
      <c r="S3" s="4"/>
      <c r="T3" s="4"/>
      <c r="U3" s="4"/>
      <c r="V3" s="4"/>
      <c r="W3" s="4"/>
      <c r="X3" s="4"/>
      <c r="Z3" s="48"/>
      <c r="AA3" s="4"/>
      <c r="AB3" s="9" t="s">
        <v>12</v>
      </c>
      <c r="AC3" s="49" t="s">
        <v>13</v>
      </c>
    </row>
    <row r="4" spans="1:29" x14ac:dyDescent="0.35">
      <c r="A4" s="4" t="s">
        <v>14</v>
      </c>
      <c r="B4" s="9" t="s">
        <v>15</v>
      </c>
      <c r="C4" s="18" cm="1">
        <f t="array" ref="C4:D4">LINEST(LN(C25:G25),LN(C23:G23))</f>
        <v>1.0346658183014497</v>
      </c>
      <c r="D4" s="72">
        <v>2.3441969314960365</v>
      </c>
      <c r="E4" s="23"/>
      <c r="F4" s="23"/>
      <c r="G4" s="23"/>
      <c r="H4" s="23"/>
      <c r="I4" s="23"/>
      <c r="J4" s="24"/>
      <c r="K4" s="23"/>
      <c r="L4" s="23"/>
      <c r="M4" s="9" t="s">
        <v>16</v>
      </c>
      <c r="N4" s="9" t="s">
        <v>17</v>
      </c>
      <c r="O4" s="4"/>
      <c r="P4" s="4"/>
      <c r="Q4" s="4"/>
      <c r="R4" s="4"/>
      <c r="S4" s="4"/>
      <c r="T4" s="4"/>
      <c r="U4" s="4"/>
      <c r="V4" s="4"/>
      <c r="W4" s="4"/>
      <c r="X4" s="4"/>
      <c r="Z4" s="50" t="s">
        <v>18</v>
      </c>
      <c r="AA4" t="s">
        <v>19</v>
      </c>
      <c r="AC4" s="51" t="s">
        <v>20</v>
      </c>
    </row>
    <row r="5" spans="1:29" x14ac:dyDescent="0.35">
      <c r="A5" s="62" t="s">
        <v>21</v>
      </c>
      <c r="B5" s="24"/>
      <c r="C5" s="23"/>
      <c r="D5" s="23"/>
      <c r="E5" s="23"/>
      <c r="F5" s="23"/>
      <c r="G5" s="23"/>
      <c r="H5" s="23"/>
      <c r="I5" s="62" t="s">
        <v>22</v>
      </c>
      <c r="J5" s="24"/>
      <c r="K5" s="23"/>
      <c r="L5" s="23"/>
      <c r="M5" s="18">
        <v>0</v>
      </c>
      <c r="N5" s="12" cm="1">
        <f t="array" ref="N5">Temperatur_oertlich(C$33+C$35,C$10,M5,C$16,C$25,C$18,C$9)</f>
        <v>19.626784227691658</v>
      </c>
      <c r="O5" s="4"/>
      <c r="P5" s="4"/>
      <c r="Q5" s="4"/>
      <c r="R5" s="4"/>
      <c r="S5" s="4"/>
      <c r="T5" s="4"/>
      <c r="U5" s="4"/>
      <c r="V5" s="4"/>
      <c r="W5" s="4"/>
      <c r="X5" s="4"/>
      <c r="Z5" s="50"/>
      <c r="AA5" t="s">
        <v>23</v>
      </c>
      <c r="AC5" s="52">
        <v>180</v>
      </c>
    </row>
    <row r="6" spans="1:29" x14ac:dyDescent="0.35">
      <c r="A6" s="4" t="s">
        <v>24</v>
      </c>
      <c r="B6" s="9" t="s">
        <v>16</v>
      </c>
      <c r="C6">
        <v>0.86499999999999999</v>
      </c>
      <c r="D6" s="23"/>
      <c r="E6" s="23"/>
      <c r="F6" s="23"/>
      <c r="G6" s="23"/>
      <c r="H6" s="23"/>
      <c r="I6" s="4" t="s">
        <v>25</v>
      </c>
      <c r="J6" s="9" t="s">
        <v>16</v>
      </c>
      <c r="K6">
        <v>4.0999999999999996</v>
      </c>
      <c r="L6" s="23"/>
      <c r="M6" s="18">
        <f>C16/10</f>
        <v>6.7083333333333326E-3</v>
      </c>
      <c r="N6" s="12" cm="1">
        <f t="array" ref="N6">Temperatur_oertlich(C$33+C$35,C$10,M6,C$16,C$25,C$18,C$9)</f>
        <v>19.621740891826899</v>
      </c>
      <c r="O6" s="4"/>
      <c r="P6" s="4"/>
      <c r="Q6" s="4"/>
      <c r="R6" s="4"/>
      <c r="S6" s="4"/>
      <c r="T6" s="4"/>
      <c r="U6" s="4"/>
      <c r="V6" s="4"/>
      <c r="W6" s="4"/>
      <c r="X6" s="4"/>
      <c r="Z6" s="50" t="s">
        <v>26</v>
      </c>
      <c r="AA6" t="s">
        <v>27</v>
      </c>
      <c r="AB6">
        <f>20*0.003/0.001</f>
        <v>60</v>
      </c>
      <c r="AC6" s="52"/>
    </row>
    <row r="7" spans="1:29" x14ac:dyDescent="0.35">
      <c r="A7" s="4" t="s">
        <v>28</v>
      </c>
      <c r="B7" s="9" t="s">
        <v>16</v>
      </c>
      <c r="C7">
        <v>2.3650000000000002</v>
      </c>
      <c r="D7" s="23"/>
      <c r="E7" s="23"/>
      <c r="F7" s="23"/>
      <c r="G7" s="23"/>
      <c r="H7" s="23"/>
      <c r="I7" s="4" t="s">
        <v>29</v>
      </c>
      <c r="J7" s="9" t="s">
        <v>16</v>
      </c>
      <c r="K7">
        <v>400</v>
      </c>
      <c r="L7" s="23"/>
      <c r="M7" s="18">
        <f>M6+M$6</f>
        <v>1.3416666666666665E-2</v>
      </c>
      <c r="N7" s="12" cm="1">
        <f t="array" ref="N7">Temperatur_oertlich(C$33+C$35,C$10,M7,C$16,C$25,C$18,C$9)</f>
        <v>19.606610884232619</v>
      </c>
      <c r="O7" s="4"/>
      <c r="P7" s="4"/>
      <c r="Q7" s="4"/>
      <c r="R7" s="4"/>
      <c r="S7" s="4"/>
      <c r="T7" s="4"/>
      <c r="U7" s="4"/>
      <c r="V7" s="4"/>
      <c r="W7" s="4"/>
      <c r="X7" s="4"/>
      <c r="Z7" s="50" t="s">
        <v>30</v>
      </c>
      <c r="AA7" t="s">
        <v>31</v>
      </c>
      <c r="AB7" s="5">
        <v>25.58111111111111</v>
      </c>
      <c r="AC7" s="52"/>
    </row>
    <row r="8" spans="1:29" x14ac:dyDescent="0.35">
      <c r="A8" s="4" t="s">
        <v>32</v>
      </c>
      <c r="B8" s="9" t="s">
        <v>33</v>
      </c>
      <c r="C8" s="12">
        <f>C6*C7</f>
        <v>2.045725</v>
      </c>
      <c r="D8" s="23"/>
      <c r="E8" s="23"/>
      <c r="F8" s="23"/>
      <c r="G8" s="23"/>
      <c r="H8" s="23"/>
      <c r="I8" s="4" t="s">
        <v>34</v>
      </c>
      <c r="J8" s="9" t="s">
        <v>16</v>
      </c>
      <c r="K8">
        <v>2.875</v>
      </c>
      <c r="L8" s="23"/>
      <c r="M8" s="18">
        <f t="shared" ref="M8:M12" si="0">M7+M$6</f>
        <v>2.0124999999999997E-2</v>
      </c>
      <c r="N8" s="12" cm="1">
        <f t="array" ref="N8">Temperatur_oertlich(C$33+C$35,C$10,M8,C$16,C$25,C$18,C$9)</f>
        <v>19.581394204908818</v>
      </c>
      <c r="O8" s="4"/>
      <c r="P8" s="4"/>
      <c r="Q8" s="4"/>
      <c r="R8" s="4"/>
      <c r="S8" s="4"/>
      <c r="T8" s="4"/>
      <c r="U8" s="4"/>
      <c r="V8" s="4"/>
      <c r="W8" s="4"/>
      <c r="X8" s="4"/>
      <c r="Z8" s="50"/>
      <c r="AA8" t="s">
        <v>35</v>
      </c>
      <c r="AB8" s="5">
        <v>27.325277777777778</v>
      </c>
      <c r="AC8" s="52"/>
    </row>
    <row r="9" spans="1:29" x14ac:dyDescent="0.35">
      <c r="A9" s="4" t="s">
        <v>426</v>
      </c>
      <c r="B9" s="9" t="s">
        <v>16</v>
      </c>
      <c r="C9">
        <v>2E-3</v>
      </c>
      <c r="D9" s="23"/>
      <c r="E9" s="23"/>
      <c r="F9" s="23"/>
      <c r="G9" s="23"/>
      <c r="H9" s="23"/>
      <c r="I9" s="4" t="s">
        <v>37</v>
      </c>
      <c r="J9" s="9" t="s">
        <v>33</v>
      </c>
      <c r="K9" s="16" cm="1">
        <f t="array" ref="K9">Oberfläche_Quader(K6,K7,K8)</f>
        <v>5603.5749999999989</v>
      </c>
      <c r="L9" s="23"/>
      <c r="M9" s="18">
        <f t="shared" si="0"/>
        <v>2.6833333333333331E-2</v>
      </c>
      <c r="N9" s="12" cm="1">
        <f t="array" ref="N9">Temperatur_oertlich(C$33+C$35,C$10,M9,C$16,C$25,C$18,C$9)</f>
        <v>19.546090853855496</v>
      </c>
      <c r="O9" s="4"/>
      <c r="P9" s="4"/>
      <c r="Q9" s="4"/>
      <c r="R9" s="4"/>
      <c r="S9" s="4"/>
      <c r="T9" s="4"/>
      <c r="U9" s="4"/>
      <c r="V9" s="4"/>
      <c r="W9" s="4"/>
      <c r="X9" s="4"/>
      <c r="Z9" s="53"/>
      <c r="AA9" s="54" t="s">
        <v>38</v>
      </c>
      <c r="AB9" s="55">
        <v>38.953055555555558</v>
      </c>
      <c r="AC9" s="56"/>
    </row>
    <row r="10" spans="1:29" x14ac:dyDescent="0.35">
      <c r="A10" s="4" t="s">
        <v>39</v>
      </c>
      <c r="B10" s="9" t="s">
        <v>16</v>
      </c>
      <c r="C10">
        <v>0.01</v>
      </c>
      <c r="D10" s="23"/>
      <c r="E10" s="23"/>
      <c r="F10" s="23"/>
      <c r="G10" s="23"/>
      <c r="H10" s="23"/>
      <c r="I10" s="4" t="s">
        <v>40</v>
      </c>
      <c r="J10" s="9" t="s">
        <v>15</v>
      </c>
      <c r="K10">
        <v>0.93</v>
      </c>
      <c r="L10" s="23"/>
      <c r="M10" s="18">
        <f t="shared" si="0"/>
        <v>3.3541666666666664E-2</v>
      </c>
      <c r="N10" s="12" cm="1">
        <f t="array" ref="N10">Temperatur_oertlich(C$33+C$35,C$10,M10,C$16,C$25,C$18,C$9)</f>
        <v>19.500700831072656</v>
      </c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9" x14ac:dyDescent="0.35">
      <c r="A11" s="4" t="s">
        <v>41</v>
      </c>
      <c r="B11" s="9" t="s">
        <v>12</v>
      </c>
      <c r="C11">
        <v>40</v>
      </c>
      <c r="D11" s="23"/>
      <c r="E11" s="23"/>
      <c r="F11" s="23"/>
      <c r="G11" s="23"/>
      <c r="H11" s="23"/>
      <c r="I11" s="4" t="s">
        <v>106</v>
      </c>
      <c r="J11" s="9" t="s">
        <v>17</v>
      </c>
      <c r="K11">
        <v>26</v>
      </c>
      <c r="L11" s="23"/>
      <c r="M11" s="18">
        <f t="shared" si="0"/>
        <v>4.0249999999999994E-2</v>
      </c>
      <c r="N11" s="12" cm="1">
        <f t="array" ref="N11">Temperatur_oertlich(C$33+C$35,C$10,M11,C$16,C$25,C$18,C$9)</f>
        <v>19.445224136560295</v>
      </c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9" x14ac:dyDescent="0.35">
      <c r="A12" s="4" t="s">
        <v>43</v>
      </c>
      <c r="B12" s="9" t="s">
        <v>16</v>
      </c>
      <c r="C12">
        <v>3.5000000000000001E-3</v>
      </c>
      <c r="D12" s="23"/>
      <c r="E12" s="23"/>
      <c r="F12" s="23"/>
      <c r="G12" s="23"/>
      <c r="H12" s="23"/>
      <c r="I12" s="23"/>
      <c r="J12" s="24"/>
      <c r="K12" s="23"/>
      <c r="L12" s="23"/>
      <c r="M12" s="18">
        <f t="shared" si="0"/>
        <v>4.6958333333333324E-2</v>
      </c>
      <c r="N12" s="12" cm="1">
        <f t="array" ref="N12">Temperatur_oertlich(C$33+C$35,C$10,M12,C$16,C$25,C$18,C$9)</f>
        <v>19.379660770318413</v>
      </c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9" x14ac:dyDescent="0.35">
      <c r="A13" s="4" t="s">
        <v>46</v>
      </c>
      <c r="B13" s="9" t="s">
        <v>15</v>
      </c>
      <c r="C13">
        <v>6</v>
      </c>
      <c r="D13" s="23"/>
      <c r="E13" s="23"/>
      <c r="F13" s="23"/>
      <c r="G13" s="23"/>
      <c r="H13" s="23"/>
      <c r="I13" s="23"/>
      <c r="J13" s="24"/>
      <c r="K13" s="23"/>
      <c r="L13" s="23"/>
      <c r="M13" s="18">
        <f>M12+M$6</f>
        <v>5.3666666666666654E-2</v>
      </c>
      <c r="N13" s="12" cm="1">
        <f t="array" ref="N13">Temperatur_oertlich(C$33+C$35,C$10,M13,C$16,C$25,C$18,C$9)</f>
        <v>19.30401073234701</v>
      </c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9" x14ac:dyDescent="0.35">
      <c r="A14" s="4" t="s">
        <v>47</v>
      </c>
      <c r="B14" s="9" t="s">
        <v>15</v>
      </c>
      <c r="C14">
        <v>6</v>
      </c>
      <c r="D14" s="23"/>
      <c r="E14" s="23"/>
      <c r="F14" s="23"/>
      <c r="G14" s="23"/>
      <c r="H14" s="23"/>
      <c r="I14" s="23"/>
      <c r="J14" s="24"/>
      <c r="K14" s="23"/>
      <c r="L14" s="23"/>
      <c r="M14" s="18">
        <f>M13+M$6</f>
        <v>6.0374999999999984E-2</v>
      </c>
      <c r="N14" s="12" cm="1">
        <f t="array" ref="N14">Temperatur_oertlich(C$33+C$35,C$10,M14,C$16,C$25,C$18,C$9)</f>
        <v>19.218274022646089</v>
      </c>
      <c r="O14" s="4"/>
      <c r="P14" s="4"/>
      <c r="Q14" s="4"/>
      <c r="R14" s="4"/>
      <c r="S14" s="4"/>
      <c r="T14" s="4"/>
      <c r="U14" s="4"/>
      <c r="V14" s="4"/>
      <c r="W14" s="4"/>
      <c r="X14" s="4"/>
      <c r="AB14" s="5"/>
    </row>
    <row r="15" spans="1:29" x14ac:dyDescent="0.35">
      <c r="A15" s="4" t="s">
        <v>48</v>
      </c>
      <c r="B15" s="9" t="s">
        <v>33</v>
      </c>
      <c r="C15" s="11" cm="1">
        <f t="array" ref="C15">Querschnitt(C10,C6,C12,C13,C14)</f>
        <v>7.8537500000000005E-5</v>
      </c>
      <c r="D15" s="23"/>
      <c r="E15" s="23"/>
      <c r="F15" s="23"/>
      <c r="G15" s="23"/>
      <c r="H15" s="23"/>
      <c r="I15" s="23"/>
      <c r="J15" s="24"/>
      <c r="K15" s="23"/>
      <c r="L15" s="23"/>
      <c r="M15" s="18">
        <f>M14+M$6</f>
        <v>6.7083333333333314E-2</v>
      </c>
      <c r="N15" s="12" cm="1">
        <f t="array" ref="N15">Temperatur_oertlich(C$33+C$35,C$10,M15,C$16,C$25,C$18,C$9)</f>
        <v>19.122450641215647</v>
      </c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9" x14ac:dyDescent="0.35">
      <c r="A16" s="4" t="s">
        <v>49</v>
      </c>
      <c r="B16" s="9" t="s">
        <v>16</v>
      </c>
      <c r="C16" s="18">
        <f>(C6-C13*C10)/(C13*2)</f>
        <v>6.7083333333333328E-2</v>
      </c>
      <c r="D16" s="23"/>
      <c r="E16" s="23"/>
      <c r="F16" s="23"/>
      <c r="G16" s="23"/>
      <c r="H16" s="23"/>
      <c r="I16" s="23"/>
      <c r="J16" s="24"/>
      <c r="K16" s="23"/>
      <c r="L16" s="23"/>
      <c r="M16" s="18">
        <f>M15+C10</f>
        <v>7.7083333333333309E-2</v>
      </c>
      <c r="N16" s="12">
        <f>N15</f>
        <v>19.122450641215647</v>
      </c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6" x14ac:dyDescent="0.35">
      <c r="A17" s="62" t="s">
        <v>50</v>
      </c>
      <c r="B17" s="24"/>
      <c r="C17" s="23"/>
      <c r="D17" s="23"/>
      <c r="E17" s="23"/>
      <c r="F17" s="23"/>
      <c r="G17" s="23"/>
      <c r="H17" s="23"/>
      <c r="I17" s="23"/>
      <c r="J17" s="24"/>
      <c r="K17" s="23"/>
      <c r="L17" s="23"/>
      <c r="M17" s="18">
        <f t="shared" ref="M17:M23" si="1">M16+M$6</f>
        <v>8.3791666666666639E-2</v>
      </c>
      <c r="N17" s="12">
        <f>N14</f>
        <v>19.218274022646089</v>
      </c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6" x14ac:dyDescent="0.35">
      <c r="A18" s="4" t="s">
        <v>51</v>
      </c>
      <c r="B18" s="9" t="s">
        <v>52</v>
      </c>
      <c r="C18">
        <v>200</v>
      </c>
      <c r="D18" s="23"/>
      <c r="E18" s="23"/>
      <c r="F18" s="23"/>
      <c r="G18" s="23"/>
      <c r="H18" s="23"/>
      <c r="I18" s="4" t="s">
        <v>53</v>
      </c>
      <c r="J18" s="9" t="s">
        <v>15</v>
      </c>
      <c r="K18">
        <v>0.93</v>
      </c>
      <c r="L18" s="23"/>
      <c r="M18" s="18">
        <f t="shared" si="1"/>
        <v>9.0499999999999969E-2</v>
      </c>
      <c r="N18" s="12">
        <f>N13</f>
        <v>19.30401073234701</v>
      </c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6" x14ac:dyDescent="0.35">
      <c r="A19" s="4" t="s">
        <v>54</v>
      </c>
      <c r="B19" s="9" t="s">
        <v>55</v>
      </c>
      <c r="C19" s="16" cm="1">
        <f t="array" ref="C19">rho_sat_Wasser(C24)</f>
        <v>998.39060518823999</v>
      </c>
      <c r="D19" s="16" cm="1">
        <f t="array" ref="D19">rho_sat_Wasser(D24)</f>
        <v>998.10609519256036</v>
      </c>
      <c r="E19" s="16" cm="1">
        <f t="array" ref="E19">rho_sat_Wasser(E24)</f>
        <v>997.79998862956506</v>
      </c>
      <c r="F19" s="16" cm="1">
        <f t="array" ref="F19">rho_sat_Wasser(F24)</f>
        <v>997.47262556894532</v>
      </c>
      <c r="G19" s="16" cm="1">
        <f t="array" ref="G19">rho_sat_Wasser(G24)</f>
        <v>997.12434138623996</v>
      </c>
      <c r="H19" s="23"/>
      <c r="I19" s="4" t="s">
        <v>56</v>
      </c>
      <c r="J19" s="9" t="s">
        <v>15</v>
      </c>
      <c r="K19" s="10">
        <f>K18</f>
        <v>0.93</v>
      </c>
      <c r="L19" s="23"/>
      <c r="M19" s="18">
        <f t="shared" si="1"/>
        <v>9.7208333333333299E-2</v>
      </c>
      <c r="N19" s="12">
        <f>N12</f>
        <v>19.379660770318413</v>
      </c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6" x14ac:dyDescent="0.35">
      <c r="A20" s="4" t="s">
        <v>57</v>
      </c>
      <c r="B20" s="9" t="s">
        <v>12</v>
      </c>
      <c r="C20" s="12" cm="1">
        <f t="array" ref="C20">lamda_sat_Wasser(C24)</f>
        <v>0.59553496250959992</v>
      </c>
      <c r="D20" s="12" cm="1">
        <f t="array" ref="D20">lamda_sat_Wasser(D24)</f>
        <v>0.59802515573633741</v>
      </c>
      <c r="E20" s="12" cm="1">
        <f t="array" ref="E20">lamda_sat_Wasser(E24)</f>
        <v>0.60047535368329996</v>
      </c>
      <c r="F20" s="12" cm="1">
        <f t="array" ref="F20">lamda_sat_Wasser(F24)</f>
        <v>0.60288575693281254</v>
      </c>
      <c r="G20" s="12" cm="1">
        <f t="array" ref="G20">lamda_sat_Wasser(G24)</f>
        <v>0.60525656606719991</v>
      </c>
      <c r="H20" s="23"/>
      <c r="I20" s="23"/>
      <c r="J20" s="24"/>
      <c r="K20" s="23"/>
      <c r="L20" s="23"/>
      <c r="M20" s="18">
        <f t="shared" si="1"/>
        <v>0.10391666666666663</v>
      </c>
      <c r="N20" s="12">
        <f>N11</f>
        <v>19.445224136560295</v>
      </c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6" x14ac:dyDescent="0.35">
      <c r="A21" s="4" t="s">
        <v>58</v>
      </c>
      <c r="B21" s="9" t="s">
        <v>59</v>
      </c>
      <c r="C21" s="11" cm="1">
        <f t="array" ref="C21">ny_sat_Wasser(C24)</f>
        <v>1.0949925624666294E-6</v>
      </c>
      <c r="D21" s="11" cm="1">
        <f t="array" ref="D21">ny_sat_Wasser(D24)</f>
        <v>1.0562845835578642E-6</v>
      </c>
      <c r="E21" s="11" cm="1">
        <f t="array" ref="E21">ny_sat_Wasser(E24)</f>
        <v>1.0193587667862889E-6</v>
      </c>
      <c r="F21" s="11" cm="1">
        <f t="array" ref="F21">ny_sat_Wasser(F24)</f>
        <v>9.8412881511866598E-7</v>
      </c>
      <c r="G21" s="11" cm="1">
        <f t="array" ref="G21">ny_sat_Wasser(G24)</f>
        <v>9.5051264367273639E-7</v>
      </c>
      <c r="H21" s="23"/>
      <c r="I21" s="23"/>
      <c r="J21" s="24"/>
      <c r="K21" s="23"/>
      <c r="L21" s="23"/>
      <c r="M21" s="18">
        <f t="shared" si="1"/>
        <v>0.11062499999999996</v>
      </c>
      <c r="N21" s="12">
        <f>N10</f>
        <v>19.500700831072656</v>
      </c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6" x14ac:dyDescent="0.35">
      <c r="A22" s="4" t="s">
        <v>60</v>
      </c>
      <c r="B22" s="9" t="s">
        <v>61</v>
      </c>
      <c r="C22" s="16" cm="1">
        <f t="array" ref="C22">cp_sat_Wasser(C24)</f>
        <v>4189.6574657092797</v>
      </c>
      <c r="D22" s="16" cm="1">
        <f t="array" ref="D22">cp_sat_Wasser(D24)</f>
        <v>4188.1915297114519</v>
      </c>
      <c r="E22" s="16" cm="1">
        <f t="array" ref="E22">cp_sat_Wasser(E24)</f>
        <v>4186.8315930744302</v>
      </c>
      <c r="F22" s="16" cm="1">
        <f t="array" ref="F22">cp_sat_Wasser(F24)</f>
        <v>4185.5751456574217</v>
      </c>
      <c r="G22" s="16" cm="1">
        <f t="array" ref="G22">cp_sat_Wasser(G24)</f>
        <v>4184.4197283532803</v>
      </c>
      <c r="H22" s="23"/>
      <c r="I22" s="23"/>
      <c r="J22" s="24"/>
      <c r="K22" s="23"/>
      <c r="L22" s="23"/>
      <c r="M22" s="18">
        <f t="shared" si="1"/>
        <v>0.11733333333333329</v>
      </c>
      <c r="N22" s="12">
        <f>N9</f>
        <v>19.546090853855496</v>
      </c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6" x14ac:dyDescent="0.35">
      <c r="A23" s="62" t="s">
        <v>62</v>
      </c>
      <c r="B23" s="24" t="s">
        <v>45</v>
      </c>
      <c r="C23" s="10">
        <f t="shared" ref="C23:G23" si="2">$K11-C24</f>
        <v>8</v>
      </c>
      <c r="D23" s="10">
        <f t="shared" si="2"/>
        <v>6.5</v>
      </c>
      <c r="E23" s="10">
        <f t="shared" si="2"/>
        <v>5</v>
      </c>
      <c r="F23" s="10">
        <f t="shared" si="2"/>
        <v>3.5</v>
      </c>
      <c r="G23" s="10">
        <f t="shared" si="2"/>
        <v>2</v>
      </c>
      <c r="H23" s="23" t="s">
        <v>107</v>
      </c>
      <c r="I23" s="23"/>
      <c r="J23" s="23"/>
      <c r="K23" s="23"/>
      <c r="L23" s="23"/>
      <c r="M23" s="18">
        <f t="shared" si="1"/>
        <v>0.12404166666666662</v>
      </c>
      <c r="N23" s="12">
        <f>N8</f>
        <v>19.581394204908818</v>
      </c>
      <c r="O23" s="4"/>
      <c r="P23" s="57"/>
      <c r="Q23" s="4"/>
      <c r="R23" s="4"/>
      <c r="S23" s="4"/>
      <c r="T23" s="4"/>
      <c r="U23" s="4"/>
      <c r="V23" s="4"/>
      <c r="W23" s="4"/>
      <c r="X23" s="4"/>
    </row>
    <row r="24" spans="1:26" x14ac:dyDescent="0.35">
      <c r="A24" s="4" t="s">
        <v>64</v>
      </c>
      <c r="B24" s="9" t="s">
        <v>17</v>
      </c>
      <c r="C24">
        <v>18</v>
      </c>
      <c r="D24">
        <v>19.5</v>
      </c>
      <c r="E24">
        <v>21</v>
      </c>
      <c r="F24">
        <v>22.5</v>
      </c>
      <c r="G24">
        <v>24</v>
      </c>
      <c r="H24" s="23"/>
      <c r="I24" s="23"/>
      <c r="J24" s="23"/>
      <c r="K24" s="23"/>
      <c r="L24" s="23"/>
      <c r="M24" s="18">
        <f>M23+M$6</f>
        <v>0.13074999999999995</v>
      </c>
      <c r="N24" s="12">
        <f>N7</f>
        <v>19.606610884232619</v>
      </c>
      <c r="O24" s="4"/>
      <c r="P24" s="57"/>
      <c r="Q24" s="4"/>
      <c r="R24" s="4"/>
      <c r="S24" s="4"/>
      <c r="T24" s="4"/>
      <c r="U24" s="4"/>
      <c r="V24" s="4"/>
      <c r="W24" s="4"/>
      <c r="X24" s="4"/>
    </row>
    <row r="25" spans="1:26" x14ac:dyDescent="0.35">
      <c r="A25" s="4" t="s">
        <v>108</v>
      </c>
      <c r="B25" s="9" t="s">
        <v>68</v>
      </c>
      <c r="C25" s="16">
        <v>89.655845317752437</v>
      </c>
      <c r="D25" s="16">
        <v>72.291839066627062</v>
      </c>
      <c r="E25" s="16">
        <v>55.118000437517885</v>
      </c>
      <c r="F25" s="16">
        <v>38.093626221611032</v>
      </c>
      <c r="G25" s="16">
        <v>21.361401198157278</v>
      </c>
      <c r="H25" s="23"/>
      <c r="I25" s="23"/>
      <c r="J25" s="23"/>
      <c r="K25" s="23"/>
      <c r="L25" s="23"/>
      <c r="M25" s="18">
        <f t="shared" ref="M25" si="3">M24+M$6</f>
        <v>0.13745833333333329</v>
      </c>
      <c r="N25" s="12">
        <f>N6</f>
        <v>19.621740891826899</v>
      </c>
      <c r="O25" s="4"/>
      <c r="P25" s="57"/>
      <c r="Q25" s="4"/>
      <c r="R25" s="4"/>
      <c r="S25" s="4"/>
      <c r="T25" s="4"/>
      <c r="U25" s="4"/>
      <c r="V25" s="4"/>
      <c r="W25" s="4"/>
      <c r="X25" s="4"/>
    </row>
    <row r="26" spans="1:26" x14ac:dyDescent="0.35">
      <c r="A26" s="4" t="s">
        <v>69</v>
      </c>
      <c r="B26" s="9" t="s">
        <v>70</v>
      </c>
      <c r="C26" s="58">
        <v>2.7E-2</v>
      </c>
      <c r="D26" s="58">
        <v>2.7E-2</v>
      </c>
      <c r="E26" s="58">
        <v>2.7E-2</v>
      </c>
      <c r="F26" s="58">
        <v>2.7E-2</v>
      </c>
      <c r="G26" s="58">
        <v>2.7E-2</v>
      </c>
      <c r="H26" s="23"/>
      <c r="I26" s="23"/>
      <c r="J26" s="23"/>
      <c r="K26" s="23"/>
      <c r="L26" s="23"/>
      <c r="M26" s="18">
        <f>M25+M$6</f>
        <v>0.14416666666666664</v>
      </c>
      <c r="N26" s="12">
        <f>N5</f>
        <v>19.626784227691658</v>
      </c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6" x14ac:dyDescent="0.35">
      <c r="A27" s="4" t="s">
        <v>71</v>
      </c>
      <c r="B27" s="9" t="s">
        <v>72</v>
      </c>
      <c r="C27" s="11" cm="1">
        <f t="array" ref="C27">Volumenstrom(C26*$C6*$C7,C24)</f>
        <v>5.5323612534981632E-5</v>
      </c>
      <c r="D27" s="11" cm="1">
        <f t="array" ref="D27">Volumenstrom(D26*$C6*$C7,D24)</f>
        <v>5.5339382522600299E-5</v>
      </c>
      <c r="E27" s="11" cm="1">
        <f t="array" ref="E27">Volumenstrom(E26*$C6*$C7,E24)</f>
        <v>5.5356359620591196E-5</v>
      </c>
      <c r="F27" s="11" cm="1">
        <f t="array" ref="F27">Volumenstrom(F26*$C6*$C7,F24)</f>
        <v>5.5374527164086264E-5</v>
      </c>
      <c r="G27" s="11" cm="1">
        <f t="array" ref="G27">Volumenstrom(G26*$C6*$C7,G24)</f>
        <v>5.539386885612562E-5</v>
      </c>
      <c r="H27" s="23"/>
      <c r="I27" s="23"/>
      <c r="J27" s="23"/>
      <c r="K27" s="23"/>
      <c r="L27" s="23"/>
      <c r="M27" s="20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6" x14ac:dyDescent="0.35">
      <c r="A28" s="4" t="s">
        <v>73</v>
      </c>
      <c r="B28" s="9" t="s">
        <v>74</v>
      </c>
      <c r="C28" s="12" cm="1">
        <f t="array" ref="C28">Fliessgeschwindigkeit(C27,$C15)</f>
        <v>0.7044228876012304</v>
      </c>
      <c r="D28" s="12" cm="1">
        <f t="array" ref="D28">Fliessgeschwindigkeit(D27,$C15)</f>
        <v>0.70462368324176727</v>
      </c>
      <c r="E28" s="12" cm="1">
        <f t="array" ref="E28">Fliessgeschwindigkeit(E27,$C15)</f>
        <v>0.7048398487422084</v>
      </c>
      <c r="F28" s="12" cm="1">
        <f t="array" ref="F28">Fliessgeschwindigkeit(F27,$C15)</f>
        <v>0.7050711719126056</v>
      </c>
      <c r="G28" s="12" cm="1">
        <f t="array" ref="G28">Fliessgeschwindigkeit(G27,$C15)</f>
        <v>0.70531744524750106</v>
      </c>
      <c r="H28" s="23"/>
      <c r="I28" s="23"/>
      <c r="J28" s="24"/>
      <c r="K28" s="23"/>
      <c r="L28" s="23"/>
      <c r="M28" s="20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6" x14ac:dyDescent="0.35">
      <c r="A29" s="4" t="s">
        <v>75</v>
      </c>
      <c r="B29" s="9" t="s">
        <v>15</v>
      </c>
      <c r="C29" s="16" cm="1">
        <f t="array" ref="C29">Reynoldszahl_Kanal(C28,$C10,$C12,C21)</f>
        <v>6433.1294270567078</v>
      </c>
      <c r="D29" s="16" cm="1">
        <f t="array" ref="D29">Reynoldszahl_Kanal(D28,$C10,$C12,D21)</f>
        <v>6670.7750374278503</v>
      </c>
      <c r="E29" s="16" cm="1">
        <f t="array" ref="E29">Reynoldszahl_Kanal(E28,$C10,$C12,E21)</f>
        <v>6914.5414912586893</v>
      </c>
      <c r="F29" s="16" cm="1">
        <f t="array" ref="F29">Reynoldszahl_Kanal(F28,$C10,$C12,F21)</f>
        <v>7164.4195463130336</v>
      </c>
      <c r="G29" s="16" cm="1">
        <f t="array" ref="G29">Reynoldszahl_Kanal(G28,$C10,$C12,G21)</f>
        <v>7420.3899331858174</v>
      </c>
      <c r="H29" s="33"/>
      <c r="I29" s="23"/>
      <c r="J29" s="24"/>
      <c r="K29" s="23"/>
      <c r="L29" s="33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6" x14ac:dyDescent="0.35">
      <c r="A30" s="4" t="s">
        <v>76</v>
      </c>
      <c r="B30" s="9" t="s">
        <v>15</v>
      </c>
      <c r="C30" s="12">
        <f>C22*C21*C19/C20</f>
        <v>7.6910017421324</v>
      </c>
      <c r="D30" s="12">
        <f t="shared" ref="D30:E30" si="4">D22*D21*D19/D20</f>
        <v>7.383541672198298</v>
      </c>
      <c r="E30" s="12">
        <f t="shared" si="4"/>
        <v>7.0918715832918613</v>
      </c>
      <c r="F30" s="12">
        <f t="shared" ref="F30:G30" si="5">F22*F21*F19/F20</f>
        <v>6.8151128790364988</v>
      </c>
      <c r="G30" s="12">
        <f t="shared" si="5"/>
        <v>6.5524384161200366</v>
      </c>
      <c r="H30" s="23"/>
      <c r="I30" s="33"/>
      <c r="J30" s="59"/>
      <c r="K30" s="33"/>
      <c r="L30" s="23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Z30" s="60"/>
    </row>
    <row r="31" spans="1:26" x14ac:dyDescent="0.35">
      <c r="A31" s="4" t="s">
        <v>77</v>
      </c>
      <c r="B31" s="9" t="s">
        <v>15</v>
      </c>
      <c r="C31" s="12" cm="1">
        <f t="array" ref="C31">Nu_Rohrstroemung(C29,C30)</f>
        <v>46.269275504880795</v>
      </c>
      <c r="D31" s="12" cm="1">
        <f t="array" ref="D31">Nu_Rohrstroemung(D29,D30)</f>
        <v>47.92153041620395</v>
      </c>
      <c r="E31" s="12" cm="1">
        <f t="array" ref="E31">Nu_Rohrstroemung(E29,E30)</f>
        <v>49.573746227282825</v>
      </c>
      <c r="F31" s="12" cm="1">
        <f t="array" ref="F31">Nu_Rohrstroemung(F29,F30)</f>
        <v>51.225669631845008</v>
      </c>
      <c r="G31" s="12" cm="1">
        <f t="array" ref="G31">Nu_Rohrstroemung(G29,G30)</f>
        <v>52.877022012216337</v>
      </c>
      <c r="H31" s="23"/>
      <c r="I31" s="23"/>
      <c r="J31" s="24"/>
      <c r="K31" s="23"/>
      <c r="L31" s="23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Z31" s="60"/>
    </row>
    <row r="32" spans="1:26" ht="16.5" x14ac:dyDescent="0.35">
      <c r="A32" s="4" t="s">
        <v>78</v>
      </c>
      <c r="B32" s="9" t="s">
        <v>79</v>
      </c>
      <c r="C32" s="16" cm="1">
        <f t="array" ref="C32">alpha_Rohrstroemung(C31,C20,$C10,$C12)</f>
        <v>2755.4971253145536</v>
      </c>
      <c r="D32" s="16" cm="1">
        <f t="array" ref="D32">alpha_Rohrstroemung(D31,D20,$C10,$C12)</f>
        <v>2865.8280690273996</v>
      </c>
      <c r="E32" s="16" cm="1">
        <f t="array" ref="E32">alpha_Rohrstroemung(E31,E20,$C10,$C12)</f>
        <v>2976.7812799233811</v>
      </c>
      <c r="F32" s="16" cm="1">
        <f t="array" ref="F32">alpha_Rohrstroemung(F31,F20,$C10,$C12)</f>
        <v>3088.3226610385063</v>
      </c>
      <c r="G32" s="16" cm="1">
        <f t="array" ref="G32">alpha_Rohrstroemung(G31,G20,$C10,$C12)</f>
        <v>3200.4164766973799</v>
      </c>
      <c r="H32" s="23"/>
      <c r="I32" s="23"/>
      <c r="J32" s="24"/>
      <c r="K32" s="23"/>
      <c r="L32" s="23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Z32" s="60"/>
    </row>
    <row r="33" spans="1:26" x14ac:dyDescent="0.35">
      <c r="A33" s="4" t="s">
        <v>80</v>
      </c>
      <c r="B33" s="9" t="s">
        <v>17</v>
      </c>
      <c r="C33" s="12" cm="1">
        <f t="array" ref="C33">Temperatur_Basis(C24,$C16,$C10,C32,$C11,$C18,$C9,C25)</f>
        <v>18.472450641215648</v>
      </c>
      <c r="D33" s="12" cm="1">
        <f t="array" ref="D33">Temperatur_Basis(D24,$C16,$C10,D32,$C11,$C18,$C9,D25)</f>
        <v>19.876314079924956</v>
      </c>
      <c r="E33" s="12" cm="1">
        <f t="array" ref="E33">Temperatur_Basis(E24,$C16,$C10,E32,$C11,$C18,$C9,E25)</f>
        <v>21.283626162639028</v>
      </c>
      <c r="F33" s="12" cm="1">
        <f t="array" ref="F33">Temperatur_Basis(F24,$C16,$C10,F32,$C11,$C18,$C9,F25)</f>
        <v>22.69390112275287</v>
      </c>
      <c r="G33" s="12" cm="1">
        <f t="array" ref="G33">Temperatur_Basis(G24,$C16,$C10,G32,$C11,$C18,$C9,G25)</f>
        <v>24.107620334760984</v>
      </c>
      <c r="H33" s="23"/>
      <c r="I33" s="23"/>
      <c r="J33" s="24"/>
      <c r="K33" s="23"/>
      <c r="L33" s="23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Z33" s="60"/>
    </row>
    <row r="34" spans="1:26" x14ac:dyDescent="0.35">
      <c r="A34" s="4" t="s">
        <v>81</v>
      </c>
      <c r="B34" s="9" t="s">
        <v>13</v>
      </c>
      <c r="C34" s="16">
        <f>1/(C37/C25)</f>
        <v>62.462651878277711</v>
      </c>
      <c r="D34" s="16">
        <f>1/(D37/D25)</f>
        <v>62.713816624861536</v>
      </c>
      <c r="E34" s="16">
        <f t="shared" ref="E34:G34" si="6">1/(E37/E25)</f>
        <v>62.949443997323073</v>
      </c>
      <c r="F34" s="16">
        <f t="shared" si="6"/>
        <v>63.170856878401054</v>
      </c>
      <c r="G34" s="16">
        <f t="shared" si="6"/>
        <v>63.379231111338605</v>
      </c>
      <c r="H34" s="23"/>
      <c r="I34" s="23"/>
      <c r="J34" s="24"/>
      <c r="K34" s="23"/>
      <c r="L34" s="23"/>
      <c r="M34" s="9" t="s">
        <v>82</v>
      </c>
      <c r="N34" s="47" t="s">
        <v>83</v>
      </c>
      <c r="O34" s="47" t="s">
        <v>84</v>
      </c>
      <c r="P34" s="47" t="s">
        <v>85</v>
      </c>
      <c r="Q34" s="47" t="s">
        <v>86</v>
      </c>
      <c r="R34" s="4"/>
      <c r="S34" s="4"/>
      <c r="T34" s="4"/>
      <c r="U34" s="4"/>
      <c r="V34" s="4"/>
      <c r="W34" s="4"/>
      <c r="X34" s="4"/>
      <c r="Z34" s="60"/>
    </row>
    <row r="35" spans="1:26" x14ac:dyDescent="0.35">
      <c r="A35" s="4" t="s">
        <v>87</v>
      </c>
      <c r="B35" s="9" t="s">
        <v>45</v>
      </c>
      <c r="C35">
        <v>0.65</v>
      </c>
      <c r="D35" s="12">
        <v>0.52411189952835491</v>
      </c>
      <c r="E35" s="12">
        <v>0.39960250396850261</v>
      </c>
      <c r="F35" s="12">
        <v>0.27617671727137644</v>
      </c>
      <c r="G35" s="12">
        <v>0.15486899632246207</v>
      </c>
      <c r="H35" s="23" t="s">
        <v>88</v>
      </c>
      <c r="I35" s="23"/>
      <c r="J35" s="24"/>
      <c r="K35" s="23"/>
      <c r="L35" s="23"/>
      <c r="M35" s="9" t="s">
        <v>16</v>
      </c>
      <c r="N35" s="9" t="s">
        <v>17</v>
      </c>
      <c r="O35" s="9" t="s">
        <v>17</v>
      </c>
      <c r="P35" s="9" t="s">
        <v>17</v>
      </c>
      <c r="Q35" s="9" t="s">
        <v>17</v>
      </c>
      <c r="R35" s="4"/>
      <c r="S35" s="4"/>
      <c r="T35" s="4"/>
      <c r="U35" s="4"/>
      <c r="V35" s="4"/>
      <c r="W35" s="4"/>
      <c r="X35" s="4"/>
      <c r="Z35" s="60"/>
    </row>
    <row r="36" spans="1:26" x14ac:dyDescent="0.35">
      <c r="A36" s="4" t="s">
        <v>89</v>
      </c>
      <c r="B36" s="9" t="s">
        <v>17</v>
      </c>
      <c r="C36" s="12" cm="1">
        <f t="array" ref="C36">Temperatur_Mittelwert(C24,C25,$C10,$C16,$C11,C32,$C18,$C9,C35,C25)</f>
        <v>19.435351247853944</v>
      </c>
      <c r="D36" s="12" cm="1">
        <f t="array" ref="D36">Temperatur_Mittelwert(D24,D25,$C10,$C16,$C11,D32,$C18,$C9,D35,D25)</f>
        <v>20.652725873774497</v>
      </c>
      <c r="E36" s="12" cm="1">
        <f t="array" ref="E36">Temperatur_Mittelwert(E24,E25,$C10,$C16,$C11,E32,$C18,$C9,E35,E25)</f>
        <v>21.875591537232033</v>
      </c>
      <c r="F36" s="12" cm="1">
        <f t="array" ref="F36">Temperatur_Mittelwert(F24,F25,$C10,$C16,$C11,F32,$C18,$C9,F35,F25)</f>
        <v>23.103025320598995</v>
      </c>
      <c r="G36" s="12" cm="1">
        <f t="array" ref="G36">Temperatur_Mittelwert(G24,G25,$C10,$C16,$C11,G32,$C18,$C9,G35,G25)</f>
        <v>24.337041027850773</v>
      </c>
      <c r="H36" s="23"/>
      <c r="I36" s="23"/>
      <c r="J36" s="24"/>
      <c r="K36" s="23"/>
      <c r="L36" s="23"/>
      <c r="M36" s="61">
        <v>0</v>
      </c>
      <c r="N36" s="61">
        <f>C24</f>
        <v>18</v>
      </c>
      <c r="O36" s="61">
        <f>C33</f>
        <v>18.472450641215648</v>
      </c>
      <c r="P36" s="61">
        <f>C36</f>
        <v>19.435351247853944</v>
      </c>
      <c r="Q36" s="61">
        <f>K11</f>
        <v>26</v>
      </c>
      <c r="R36" s="4"/>
      <c r="S36" s="4"/>
      <c r="T36" s="4"/>
      <c r="U36" s="4"/>
      <c r="V36" s="4"/>
      <c r="W36" s="4"/>
      <c r="X36" s="4"/>
      <c r="Z36" s="60"/>
    </row>
    <row r="37" spans="1:26" x14ac:dyDescent="0.35">
      <c r="A37" s="4" t="s">
        <v>90</v>
      </c>
      <c r="B37" s="9" t="s">
        <v>45</v>
      </c>
      <c r="C37" s="12">
        <f>C36-C24</f>
        <v>1.4353512478539443</v>
      </c>
      <c r="D37" s="12">
        <f t="shared" ref="D37:E37" si="7">D36-D24</f>
        <v>1.1527258737744965</v>
      </c>
      <c r="E37" s="12">
        <f t="shared" si="7"/>
        <v>0.87559153723203309</v>
      </c>
      <c r="F37" s="12">
        <f t="shared" ref="F37:G37" si="8">F36-F24</f>
        <v>0.60302532059899505</v>
      </c>
      <c r="G37" s="12">
        <f t="shared" si="8"/>
        <v>0.33704102785077339</v>
      </c>
      <c r="H37" s="23"/>
      <c r="I37" s="23"/>
      <c r="J37" s="24"/>
      <c r="K37" s="23"/>
      <c r="L37" s="23"/>
      <c r="M37" s="61">
        <f>M26</f>
        <v>0.14416666666666664</v>
      </c>
      <c r="N37" s="61">
        <f>N36</f>
        <v>18</v>
      </c>
      <c r="O37" s="61">
        <f>O36</f>
        <v>18.472450641215648</v>
      </c>
      <c r="P37" s="61">
        <f>P36</f>
        <v>19.435351247853944</v>
      </c>
      <c r="Q37" s="61">
        <f>Q36</f>
        <v>26</v>
      </c>
      <c r="R37" s="4"/>
      <c r="S37" s="4"/>
      <c r="T37" s="4"/>
      <c r="U37" s="4"/>
      <c r="V37" s="4"/>
      <c r="W37" s="4"/>
      <c r="X37" s="4"/>
      <c r="Z37" s="60"/>
    </row>
    <row r="38" spans="1:26" x14ac:dyDescent="0.35">
      <c r="A38" s="23"/>
      <c r="B38" s="24"/>
      <c r="C38" s="23"/>
      <c r="D38" s="23"/>
      <c r="E38" s="23"/>
      <c r="F38" s="23"/>
      <c r="G38" s="23"/>
      <c r="H38" s="23"/>
      <c r="I38" s="23"/>
      <c r="J38" s="24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Z38" s="60"/>
    </row>
    <row r="39" spans="1:26" x14ac:dyDescent="0.35">
      <c r="B39"/>
      <c r="J39"/>
      <c r="W39" s="6"/>
      <c r="X39" s="6"/>
      <c r="Z39" s="5"/>
    </row>
    <row r="40" spans="1:26" x14ac:dyDescent="0.35">
      <c r="B40"/>
      <c r="J40"/>
      <c r="W40" s="6"/>
      <c r="X40" s="6"/>
    </row>
    <row r="41" spans="1:26" x14ac:dyDescent="0.35">
      <c r="B41"/>
      <c r="J41"/>
      <c r="X41" s="5"/>
    </row>
    <row r="42" spans="1:26" x14ac:dyDescent="0.35">
      <c r="B42"/>
      <c r="J42"/>
      <c r="X42" s="5"/>
    </row>
    <row r="43" spans="1:26" x14ac:dyDescent="0.35">
      <c r="B43"/>
      <c r="J43"/>
      <c r="X43" s="5"/>
    </row>
    <row r="44" spans="1:26" x14ac:dyDescent="0.35">
      <c r="B44"/>
      <c r="J44"/>
      <c r="X44" s="5"/>
    </row>
    <row r="45" spans="1:26" x14ac:dyDescent="0.35">
      <c r="B45"/>
      <c r="J45"/>
      <c r="X45" s="5"/>
    </row>
    <row r="46" spans="1:26" x14ac:dyDescent="0.35">
      <c r="B46"/>
      <c r="J46"/>
      <c r="X46" s="5"/>
    </row>
    <row r="47" spans="1:26" x14ac:dyDescent="0.35">
      <c r="B47"/>
      <c r="J47"/>
      <c r="X47" s="5"/>
    </row>
    <row r="48" spans="1:26" x14ac:dyDescent="0.35">
      <c r="B48"/>
      <c r="J48"/>
      <c r="X48" s="5"/>
    </row>
    <row r="49" spans="2:24" x14ac:dyDescent="0.35">
      <c r="B49"/>
      <c r="J49"/>
      <c r="X49" s="5"/>
    </row>
    <row r="50" spans="2:24" x14ac:dyDescent="0.35">
      <c r="B50"/>
      <c r="J50"/>
      <c r="X50" s="5"/>
    </row>
    <row r="51" spans="2:24" x14ac:dyDescent="0.35">
      <c r="X51" s="5"/>
    </row>
    <row r="52" spans="2:24" x14ac:dyDescent="0.35">
      <c r="X52" s="5"/>
    </row>
    <row r="53" spans="2:24" x14ac:dyDescent="0.35">
      <c r="X53" s="5"/>
    </row>
    <row r="54" spans="2:24" x14ac:dyDescent="0.35">
      <c r="X54" s="5"/>
    </row>
    <row r="55" spans="2:24" x14ac:dyDescent="0.35">
      <c r="X55" s="5"/>
    </row>
    <row r="56" spans="2:24" x14ac:dyDescent="0.35">
      <c r="X56" s="5"/>
    </row>
    <row r="57" spans="2:24" x14ac:dyDescent="0.35">
      <c r="X57" s="5"/>
    </row>
    <row r="58" spans="2:24" x14ac:dyDescent="0.35">
      <c r="X58" s="5"/>
    </row>
    <row r="59" spans="2:24" x14ac:dyDescent="0.35">
      <c r="X59" s="5"/>
    </row>
    <row r="60" spans="2:24" x14ac:dyDescent="0.35">
      <c r="X60" s="5"/>
    </row>
    <row r="61" spans="2:24" x14ac:dyDescent="0.35">
      <c r="X61" s="5"/>
    </row>
    <row r="62" spans="2:24" x14ac:dyDescent="0.35">
      <c r="X62" s="5"/>
    </row>
    <row r="63" spans="2:24" x14ac:dyDescent="0.35">
      <c r="X63" s="5"/>
    </row>
    <row r="64" spans="2:24" x14ac:dyDescent="0.35">
      <c r="X64" s="5"/>
    </row>
    <row r="65" spans="24:24" x14ac:dyDescent="0.35">
      <c r="X65" s="5"/>
    </row>
    <row r="66" spans="24:24" x14ac:dyDescent="0.35">
      <c r="X66" s="5"/>
    </row>
    <row r="67" spans="24:24" x14ac:dyDescent="0.35">
      <c r="X67" s="5"/>
    </row>
    <row r="68" spans="24:24" x14ac:dyDescent="0.35">
      <c r="X68" s="5"/>
    </row>
    <row r="69" spans="24:24" x14ac:dyDescent="0.35">
      <c r="X69" s="5"/>
    </row>
    <row r="70" spans="24:24" x14ac:dyDescent="0.35">
      <c r="X70" s="5"/>
    </row>
  </sheetData>
  <pageMargins left="0.7" right="0.7" top="0.75" bottom="0.75" header="0.3" footer="0.3"/>
  <pageSetup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8" r:id="rId4" name="Button 8">
              <controlPr defaultSize="0" print="0" autoFill="0" autoPict="0" macro="[0]!Kuehlsegel_Prototyp">
                <anchor moveWithCells="1" sizeWithCells="1">
                  <from>
                    <xdr:col>3</xdr:col>
                    <xdr:colOff>63500</xdr:colOff>
                    <xdr:row>1</xdr:row>
                    <xdr:rowOff>69850</xdr:rowOff>
                  </from>
                  <to>
                    <xdr:col>5</xdr:col>
                    <xdr:colOff>463550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98192-9BDE-4561-95C2-9FE2D1E1F36C}">
  <sheetPr codeName="Sheet12">
    <tabColor theme="5" tint="0.79998168889431442"/>
  </sheetPr>
  <dimension ref="A1:AE87"/>
  <sheetViews>
    <sheetView zoomScaleNormal="100" workbookViewId="0">
      <selection activeCell="C3" sqref="C3"/>
    </sheetView>
  </sheetViews>
  <sheetFormatPr defaultColWidth="8.6328125" defaultRowHeight="14.5" x14ac:dyDescent="0.35"/>
  <cols>
    <col min="1" max="1" width="53.36328125" customWidth="1"/>
    <col min="2" max="2" width="8.6328125" style="6"/>
    <col min="3" max="3" width="8.90625" customWidth="1"/>
    <col min="11" max="12" width="9.36328125" bestFit="1" customWidth="1"/>
  </cols>
  <sheetData>
    <row r="1" spans="1:31" ht="18.5" x14ac:dyDescent="0.45">
      <c r="A1" s="7" t="s">
        <v>109</v>
      </c>
      <c r="B1" s="21"/>
      <c r="C1" s="22"/>
      <c r="D1" s="22"/>
      <c r="E1" s="22"/>
      <c r="F1" s="22" t="s">
        <v>2</v>
      </c>
      <c r="G1" s="22"/>
      <c r="H1" s="22"/>
      <c r="I1" s="22"/>
      <c r="J1" s="22"/>
      <c r="K1" s="22"/>
      <c r="L1" s="22"/>
      <c r="X1" t="s">
        <v>110</v>
      </c>
    </row>
    <row r="2" spans="1:31" x14ac:dyDescent="0.35">
      <c r="A2" s="23" t="s">
        <v>111</v>
      </c>
      <c r="B2" s="24"/>
      <c r="C2" s="23"/>
      <c r="D2" s="23"/>
      <c r="E2" s="23" t="s">
        <v>112</v>
      </c>
      <c r="F2" t="s">
        <v>113</v>
      </c>
      <c r="I2" s="23"/>
      <c r="J2" s="23"/>
      <c r="K2" s="63" t="s">
        <v>114</v>
      </c>
      <c r="L2" s="23"/>
      <c r="X2" t="s">
        <v>115</v>
      </c>
      <c r="Z2" t="s">
        <v>116</v>
      </c>
    </row>
    <row r="3" spans="1:31" ht="16.5" x14ac:dyDescent="0.35">
      <c r="A3" s="4" t="s">
        <v>8</v>
      </c>
      <c r="B3" s="9" t="s">
        <v>9</v>
      </c>
      <c r="C3" s="73">
        <v>10.424897458235773</v>
      </c>
      <c r="D3" s="23"/>
      <c r="E3" s="23"/>
      <c r="F3" s="25" t="s">
        <v>117</v>
      </c>
      <c r="G3" s="25"/>
      <c r="H3" s="25"/>
      <c r="I3" s="23"/>
      <c r="J3" s="23"/>
      <c r="K3" s="63"/>
      <c r="L3" s="23"/>
      <c r="W3" s="9" t="s">
        <v>9</v>
      </c>
      <c r="X3" s="1">
        <f>Kühlsegel!C3</f>
        <v>11.446999999999999</v>
      </c>
      <c r="Y3" s="23"/>
      <c r="Z3" s="73">
        <f>Prototyp!C3</f>
        <v>10.424897458235773</v>
      </c>
      <c r="AA3" s="23"/>
      <c r="AB3" s="23"/>
      <c r="AC3" s="23"/>
      <c r="AD3" s="23"/>
      <c r="AE3" s="23"/>
    </row>
    <row r="4" spans="1:31" x14ac:dyDescent="0.35">
      <c r="A4" s="4" t="s">
        <v>14</v>
      </c>
      <c r="B4" s="9" t="s">
        <v>15</v>
      </c>
      <c r="C4" s="73">
        <v>1.0346658183014497</v>
      </c>
      <c r="D4" s="23" t="s">
        <v>118</v>
      </c>
      <c r="E4" s="23"/>
      <c r="F4" s="10" t="s">
        <v>119</v>
      </c>
      <c r="G4" s="10"/>
      <c r="H4" s="10"/>
      <c r="I4" s="23" t="s">
        <v>120</v>
      </c>
      <c r="J4" s="23"/>
      <c r="K4" s="63"/>
      <c r="L4" s="23"/>
      <c r="W4" s="9" t="s">
        <v>15</v>
      </c>
      <c r="X4" s="1">
        <f>Kühlsegel!C4</f>
        <v>1.0680000000000001</v>
      </c>
      <c r="Y4" s="23"/>
      <c r="Z4" s="73">
        <f>Prototyp!C4</f>
        <v>1.0346658183014497</v>
      </c>
      <c r="AA4" s="23"/>
      <c r="AB4" s="23"/>
      <c r="AC4" s="23"/>
      <c r="AD4" s="23"/>
      <c r="AE4" s="23"/>
    </row>
    <row r="5" spans="1:31" x14ac:dyDescent="0.35">
      <c r="A5" s="4" t="s">
        <v>121</v>
      </c>
      <c r="B5" s="9" t="s">
        <v>33</v>
      </c>
      <c r="C5" s="74">
        <v>2.045725</v>
      </c>
      <c r="D5" s="24" t="s">
        <v>17</v>
      </c>
      <c r="E5" s="24" t="s">
        <v>45</v>
      </c>
      <c r="F5" s="26" t="s">
        <v>119</v>
      </c>
      <c r="G5" s="26"/>
      <c r="H5" s="26"/>
      <c r="I5" s="23" t="s">
        <v>122</v>
      </c>
      <c r="J5" s="23"/>
      <c r="K5" s="63"/>
      <c r="L5" s="23"/>
      <c r="X5" s="23"/>
      <c r="Y5" s="23"/>
      <c r="Z5" s="23"/>
      <c r="AA5" s="23"/>
      <c r="AB5" s="23"/>
      <c r="AC5" s="23"/>
      <c r="AD5" s="23"/>
      <c r="AE5" s="23"/>
    </row>
    <row r="6" spans="1:31" x14ac:dyDescent="0.35">
      <c r="A6" s="4" t="s">
        <v>123</v>
      </c>
      <c r="B6" s="9" t="s">
        <v>17</v>
      </c>
      <c r="C6">
        <v>26</v>
      </c>
      <c r="D6" s="10">
        <f>C6+E6</f>
        <v>26</v>
      </c>
      <c r="E6" s="1">
        <v>0</v>
      </c>
      <c r="F6" s="27" t="s">
        <v>124</v>
      </c>
      <c r="G6" s="27"/>
      <c r="H6" s="27"/>
      <c r="I6" s="23"/>
      <c r="J6" s="23"/>
      <c r="K6" s="63"/>
      <c r="L6" s="23"/>
      <c r="X6">
        <v>26</v>
      </c>
      <c r="Y6" s="23"/>
      <c r="Z6" s="23"/>
      <c r="AA6" s="23"/>
      <c r="AB6" s="23"/>
      <c r="AC6" s="23"/>
      <c r="AD6" s="23"/>
      <c r="AE6" s="23"/>
    </row>
    <row r="7" spans="1:31" x14ac:dyDescent="0.35">
      <c r="A7" s="4" t="s">
        <v>125</v>
      </c>
      <c r="B7" s="9"/>
      <c r="C7">
        <v>18</v>
      </c>
      <c r="D7">
        <v>19</v>
      </c>
      <c r="E7">
        <v>20</v>
      </c>
      <c r="F7">
        <v>21</v>
      </c>
      <c r="G7">
        <v>22</v>
      </c>
      <c r="H7">
        <v>23</v>
      </c>
      <c r="I7">
        <v>24</v>
      </c>
      <c r="J7">
        <v>25</v>
      </c>
      <c r="K7" s="64" t="s">
        <v>126</v>
      </c>
      <c r="L7" s="9" t="s">
        <v>127</v>
      </c>
      <c r="X7">
        <v>18</v>
      </c>
      <c r="Y7">
        <v>19</v>
      </c>
      <c r="Z7">
        <v>20</v>
      </c>
      <c r="AA7">
        <v>21</v>
      </c>
      <c r="AB7">
        <v>22</v>
      </c>
      <c r="AC7">
        <v>23</v>
      </c>
      <c r="AD7">
        <v>24</v>
      </c>
      <c r="AE7">
        <v>25</v>
      </c>
    </row>
    <row r="8" spans="1:31" ht="16.5" x14ac:dyDescent="0.35">
      <c r="A8" s="4" t="s">
        <v>128</v>
      </c>
      <c r="B8" s="9" t="s">
        <v>55</v>
      </c>
      <c r="C8" s="25">
        <f>$C6-C7</f>
        <v>8</v>
      </c>
      <c r="D8" s="25">
        <f t="shared" ref="D8:J8" si="0">$C6-D7</f>
        <v>7</v>
      </c>
      <c r="E8" s="25">
        <f t="shared" si="0"/>
        <v>6</v>
      </c>
      <c r="F8" s="25">
        <f t="shared" si="0"/>
        <v>5</v>
      </c>
      <c r="G8" s="25">
        <f t="shared" si="0"/>
        <v>4</v>
      </c>
      <c r="H8" s="25">
        <f t="shared" si="0"/>
        <v>3</v>
      </c>
      <c r="I8" s="25">
        <f t="shared" si="0"/>
        <v>2</v>
      </c>
      <c r="J8" s="25">
        <f t="shared" si="0"/>
        <v>1</v>
      </c>
      <c r="K8" s="64" t="s">
        <v>9</v>
      </c>
      <c r="L8" s="9" t="s">
        <v>15</v>
      </c>
      <c r="X8" s="25">
        <f>$C6-X7</f>
        <v>8</v>
      </c>
      <c r="Y8" s="25">
        <f t="shared" ref="Y8:AE8" si="1">$C6-Y7</f>
        <v>7</v>
      </c>
      <c r="Z8" s="25">
        <f t="shared" si="1"/>
        <v>6</v>
      </c>
      <c r="AA8" s="25">
        <f t="shared" si="1"/>
        <v>5</v>
      </c>
      <c r="AB8" s="25">
        <f t="shared" si="1"/>
        <v>4</v>
      </c>
      <c r="AC8" s="25">
        <f t="shared" si="1"/>
        <v>3</v>
      </c>
      <c r="AD8" s="25">
        <f t="shared" si="1"/>
        <v>2</v>
      </c>
      <c r="AE8" s="25">
        <f t="shared" si="1"/>
        <v>1</v>
      </c>
    </row>
    <row r="9" spans="1:31" x14ac:dyDescent="0.35">
      <c r="A9" s="4" t="s">
        <v>129</v>
      </c>
      <c r="B9" s="9" t="s">
        <v>68</v>
      </c>
      <c r="C9" s="28" cm="1">
        <f t="array" ref="C9">qs_Kuehlsegel($C3,$C4,$C6,C7)</f>
        <v>89.633041238631748</v>
      </c>
      <c r="D9" s="28" cm="1">
        <f t="array" ref="D9">qs_Kuehlsegel($C3,$C4,$C6,D7)</f>
        <v>78.066704584744187</v>
      </c>
      <c r="E9" s="28" cm="1">
        <f t="array" ref="E9">qs_Kuehlsegel($C3,$C4,$C6,E7)</f>
        <v>66.557697889908582</v>
      </c>
      <c r="F9" s="28" cm="1">
        <f t="array" ref="F9">qs_Kuehlsegel($C3,$C4,$C6,F7)</f>
        <v>55.115298435016747</v>
      </c>
      <c r="G9" s="28" cm="1">
        <f t="array" ref="G9">qs_Kuehlsegel($C3,$C4,$C6,G7)</f>
        <v>43.752481056162949</v>
      </c>
      <c r="H9" s="28" cm="1">
        <f t="array" ref="H9">qs_Kuehlsegel($C3,$C4,$C6,H7)</f>
        <v>32.488738257995699</v>
      </c>
      <c r="I9" s="28" cm="1">
        <f t="array" ref="I9">qs_Kuehlsegel($C3,$C4,$C6,I7)</f>
        <v>21.356852028187628</v>
      </c>
      <c r="J9" s="28" cm="1">
        <f t="array" ref="J9">qs_Kuehlsegel($C3,$C4,$C6,J7)</f>
        <v>10.424897458235773</v>
      </c>
      <c r="K9" s="77">
        <f>EXP(M9)</f>
        <v>10.424897458235776</v>
      </c>
      <c r="L9" s="78" cm="1">
        <f t="array" ref="L9:M9">LINEST(LN(C9:J9),LN(C$8:J$8))</f>
        <v>1.0346658183014497</v>
      </c>
      <c r="M9" s="23">
        <v>2.3441969314960369</v>
      </c>
      <c r="X9" s="28" cm="1">
        <f t="array" ref="X9">qs_Kuehlsegel($X3,$X4,$X6,X7)</f>
        <v>105.48526273578479</v>
      </c>
      <c r="Y9" s="28" cm="1">
        <f t="array" ref="Y9">qs_Kuehlsegel($X3,$X4,$X6,Y7)</f>
        <v>91.465305556186379</v>
      </c>
      <c r="Z9" s="28" cm="1">
        <f t="array" ref="Z9">qs_Kuehlsegel($X3,$X4,$X6,Z7)</f>
        <v>77.58132958209427</v>
      </c>
      <c r="AA9" s="28" cm="1">
        <f t="array" ref="AA9">qs_Kuehlsegel($X3,$X4,$X6,AA7)</f>
        <v>63.854520416763059</v>
      </c>
      <c r="AB9" s="28" cm="1">
        <f t="array" ref="AB9">qs_Kuehlsegel($X3,$X4,$X6,AB7)</f>
        <v>50.314336914410163</v>
      </c>
      <c r="AC9" s="28" cm="1">
        <f t="array" ref="AC9">qs_Kuehlsegel($X3,$X4,$X6,AC7)</f>
        <v>37.00472514950831</v>
      </c>
      <c r="AD9" s="28" cm="1">
        <f t="array" ref="AD9">qs_Kuehlsegel($X3,$X4,$X6,AD7)</f>
        <v>23.998921114484563</v>
      </c>
      <c r="AE9" s="28" cm="1">
        <f t="array" ref="AE9">qs_Kuehlsegel($X3,$X4,$X6,AE7)</f>
        <v>11.446999999999999</v>
      </c>
    </row>
    <row r="10" spans="1:31" x14ac:dyDescent="0.35">
      <c r="A10" s="4"/>
      <c r="B10" s="9"/>
      <c r="C10" s="28">
        <f>C8+$E6*C9/$C9</f>
        <v>8</v>
      </c>
      <c r="D10" s="28">
        <f t="shared" ref="D10:J10" si="2">D8+$E6*D9/$C9</f>
        <v>7</v>
      </c>
      <c r="E10" s="28">
        <f t="shared" si="2"/>
        <v>6</v>
      </c>
      <c r="F10" s="28">
        <f t="shared" si="2"/>
        <v>5</v>
      </c>
      <c r="G10" s="28">
        <f t="shared" si="2"/>
        <v>4</v>
      </c>
      <c r="H10" s="28">
        <f t="shared" si="2"/>
        <v>3</v>
      </c>
      <c r="I10" s="28">
        <f t="shared" si="2"/>
        <v>2</v>
      </c>
      <c r="J10" s="28">
        <f t="shared" si="2"/>
        <v>1</v>
      </c>
      <c r="K10" s="65"/>
      <c r="L10" s="10"/>
      <c r="M10" s="23"/>
      <c r="X10" s="28" cm="1">
        <f t="array" ref="X10">qs_Kuehlsegel($Z3,$Z4,$X6,X7)</f>
        <v>89.633041238631748</v>
      </c>
      <c r="Y10" s="28" cm="1">
        <f t="array" ref="Y10">qs_Kuehlsegel($Z3,$Z4,$X6,Y7)</f>
        <v>78.066704584744187</v>
      </c>
      <c r="Z10" s="28" cm="1">
        <f t="array" ref="Z10">qs_Kuehlsegel($Z3,$Z4,$X6,Z7)</f>
        <v>66.557697889908582</v>
      </c>
      <c r="AA10" s="28" cm="1">
        <f t="array" ref="AA10">qs_Kuehlsegel($Z3,$Z4,$X6,AA7)</f>
        <v>55.115298435016747</v>
      </c>
      <c r="AB10" s="28" cm="1">
        <f t="array" ref="AB10">qs_Kuehlsegel($Z3,$Z4,$X6,AB7)</f>
        <v>43.752481056162949</v>
      </c>
      <c r="AC10" s="28" cm="1">
        <f t="array" ref="AC10">qs_Kuehlsegel($Z3,$Z4,$X6,AC7)</f>
        <v>32.488738257995699</v>
      </c>
      <c r="AD10" s="28" cm="1">
        <f t="array" ref="AD10">qs_Kuehlsegel($Z3,$Z4,$X6,AD7)</f>
        <v>21.356852028187628</v>
      </c>
      <c r="AE10" s="28" cm="1">
        <f t="array" ref="AE10">qs_Kuehlsegel($Z3,$Z4,$X6,AE7)</f>
        <v>10.424897458235773</v>
      </c>
    </row>
    <row r="11" spans="1:31" x14ac:dyDescent="0.35">
      <c r="A11" s="4" t="s">
        <v>80</v>
      </c>
      <c r="B11" s="9" t="s">
        <v>17</v>
      </c>
      <c r="C11" s="12" cm="1">
        <f t="array" ref="C11">Temperatur_Basis(C7,$C69,$C63,$C84,$C64,$C71,$C62,C9)</f>
        <v>18.473015700408787</v>
      </c>
      <c r="D11" s="12" cm="1">
        <f t="array" ref="D11">Temperatur_Basis(D7,$C69,$C63,$C84,$C64,$C71,$C62,D9)</f>
        <v>19.411977284687328</v>
      </c>
      <c r="E11" s="12" cm="1">
        <f t="array" ref="E11">Temperatur_Basis(E7,$C69,$C63,$C84,$C64,$C71,$C62,E9)</f>
        <v>20.351241413321837</v>
      </c>
      <c r="F11" s="12" cm="1">
        <f t="array" ref="F11">Temperatur_Basis(F7,$C69,$C63,$C84,$C64,$C71,$C62,F9)</f>
        <v>21.290857044815326</v>
      </c>
      <c r="G11" s="12" cm="1">
        <f t="array" ref="G11">Temperatur_Basis(G7,$C69,$C63,$C84,$C64,$C71,$C62,G9)</f>
        <v>22.230892650583002</v>
      </c>
      <c r="H11" s="12" cm="1">
        <f t="array" ref="H11">Temperatur_Basis(H7,$C69,$C63,$C84,$C64,$C71,$C62,H9)</f>
        <v>23.171451097387067</v>
      </c>
      <c r="I11" s="12" cm="1">
        <f t="array" ref="I11">Temperatur_Basis(I7,$C69,$C63,$C84,$C64,$C71,$C62,I9)</f>
        <v>24.112705383874513</v>
      </c>
      <c r="J11" s="12" cm="1">
        <f t="array" ref="J11">Temperatur_Basis(J7,$C69,$C63,$C84,$C64,$C71,$C62,J9)</f>
        <v>25.055014759119562</v>
      </c>
      <c r="K11" s="63"/>
      <c r="L11" s="23"/>
    </row>
    <row r="12" spans="1:31" x14ac:dyDescent="0.35">
      <c r="A12" s="4" t="s">
        <v>130</v>
      </c>
      <c r="B12" s="9" t="s">
        <v>17</v>
      </c>
      <c r="C12" s="12" cm="1">
        <f t="array" ref="C12">Temperatur_Mittelwert(C7,C9,$C63,$C69,$C64,C84,$C71,$C62,$C86,$C9)</f>
        <v>19.435836720376905</v>
      </c>
      <c r="D12" s="12" cm="1">
        <f t="array" ref="D12">Temperatur_Mittelwert(D7,D9,$C63,$C69,$C64,D84,$C71,$C62,$C86,$C9)</f>
        <v>20.247155979890213</v>
      </c>
      <c r="E12" s="12" cm="1">
        <f t="array" ref="E12">Temperatur_Mittelwert(E7,E9,$C63,$C69,$C64,E84,$C71,$C62,$C86,$C9)</f>
        <v>21.060532547458941</v>
      </c>
      <c r="F12" s="12" cm="1">
        <f t="array" ref="F12">Temperatur_Mittelwert(F7,F9,$C63,$C69,$C64,F84,$C71,$C62,$C86,$C9)</f>
        <v>21.876028301935484</v>
      </c>
      <c r="G12" s="12" cm="1">
        <f t="array" ref="G12">Temperatur_Mittelwert(G7,G9,$C63,$C69,$C64,G84,$C71,$C62,$C86,$C9)</f>
        <v>22.693769779544024</v>
      </c>
      <c r="H12" s="12" cm="1">
        <f t="array" ref="H12">Temperatur_Mittelwert(H7,H9,$C63,$C69,$C64,H84,$C71,$C62,$C86,$C9)</f>
        <v>23.513991489064804</v>
      </c>
      <c r="I12" s="12" cm="1">
        <f t="array" ref="I12">Temperatur_Mittelwert(I7,I9,$C63,$C69,$C64,I84,$C71,$C62,$C86,$C9)</f>
        <v>24.337141191955265</v>
      </c>
      <c r="J12" s="12" cm="1">
        <f t="array" ref="J12">Temperatur_Mittelwert(J7,J9,$C63,$C69,$C64,J84,$C71,$C62,$C86,$C9)</f>
        <v>25.164223993613227</v>
      </c>
      <c r="K12" s="63"/>
      <c r="L12" s="23"/>
    </row>
    <row r="13" spans="1:31" x14ac:dyDescent="0.35">
      <c r="A13" s="4" t="s">
        <v>131</v>
      </c>
      <c r="B13" s="9" t="s">
        <v>132</v>
      </c>
      <c r="C13" s="12">
        <f>$D6-C12</f>
        <v>6.5641632796230951</v>
      </c>
      <c r="D13" s="12">
        <f t="shared" ref="D13:J13" si="3">$D6-D12</f>
        <v>5.7528440201097872</v>
      </c>
      <c r="E13" s="12">
        <f t="shared" si="3"/>
        <v>4.9394674525410593</v>
      </c>
      <c r="F13" s="12">
        <f t="shared" si="3"/>
        <v>4.1239716980645156</v>
      </c>
      <c r="G13" s="12">
        <f t="shared" si="3"/>
        <v>3.3062302204559764</v>
      </c>
      <c r="H13" s="12">
        <f t="shared" si="3"/>
        <v>2.4860085109351964</v>
      </c>
      <c r="I13" s="12">
        <f t="shared" si="3"/>
        <v>1.6628588080447351</v>
      </c>
      <c r="J13" s="12">
        <f t="shared" si="3"/>
        <v>0.83577600638677296</v>
      </c>
      <c r="K13" s="66"/>
      <c r="L13" s="23"/>
    </row>
    <row r="14" spans="1:31" x14ac:dyDescent="0.35">
      <c r="A14" s="4" t="s">
        <v>133</v>
      </c>
      <c r="B14" s="9" t="s">
        <v>17</v>
      </c>
      <c r="C14" s="12">
        <f>($D6+C12)/2</f>
        <v>22.717918360188452</v>
      </c>
      <c r="D14" s="12">
        <f t="shared" ref="D14:J14" si="4">($D6+D12)/2</f>
        <v>23.123577989945105</v>
      </c>
      <c r="E14" s="12">
        <f t="shared" si="4"/>
        <v>23.53026627372947</v>
      </c>
      <c r="F14" s="12">
        <f t="shared" si="4"/>
        <v>23.938014150967742</v>
      </c>
      <c r="G14" s="12">
        <f t="shared" si="4"/>
        <v>24.346884889772014</v>
      </c>
      <c r="H14" s="12">
        <f t="shared" si="4"/>
        <v>24.756995744532404</v>
      </c>
      <c r="I14" s="12">
        <f t="shared" si="4"/>
        <v>25.168570595977634</v>
      </c>
      <c r="J14" s="12">
        <f t="shared" si="4"/>
        <v>25.582111996806614</v>
      </c>
      <c r="K14" s="63"/>
      <c r="L14" s="23"/>
    </row>
    <row r="15" spans="1:31" x14ac:dyDescent="0.35">
      <c r="A15" s="4" t="s">
        <v>134</v>
      </c>
      <c r="B15" s="9" t="s">
        <v>55</v>
      </c>
      <c r="C15" s="12" cm="1">
        <f t="array" ref="C15">rho_Luft(C14)</f>
        <v>1.1807967412829863</v>
      </c>
      <c r="D15" s="12" cm="1">
        <f t="array" ref="D15">rho_Luft(D14)</f>
        <v>1.1793262449935564</v>
      </c>
      <c r="E15" s="12" cm="1">
        <f t="array" ref="E15">rho_Luft(E14)</f>
        <v>1.1778540021179307</v>
      </c>
      <c r="F15" s="12" cm="1">
        <f t="array" ref="F15">rho_Luft(F14)</f>
        <v>1.1763799159401773</v>
      </c>
      <c r="G15" s="12" cm="1">
        <f t="array" ref="G15">rho_Luft(G14)</f>
        <v>1.174903773752904</v>
      </c>
      <c r="H15" s="12" cm="1">
        <f t="array" ref="H15">rho_Luft(H14)</f>
        <v>1.1734251696260924</v>
      </c>
      <c r="I15" s="12" cm="1">
        <f t="array" ref="I15">rho_Luft(I14)</f>
        <v>1.1719433163507555</v>
      </c>
      <c r="J15" s="12" cm="1">
        <f t="array" ref="J15">rho_Luft(J14)</f>
        <v>1.1704564299377571</v>
      </c>
      <c r="K15" s="63"/>
      <c r="L15" s="23"/>
    </row>
    <row r="16" spans="1:31" x14ac:dyDescent="0.35">
      <c r="A16" s="4" t="s">
        <v>135</v>
      </c>
      <c r="B16" s="9" t="s">
        <v>61</v>
      </c>
      <c r="C16" s="16" cm="1">
        <f t="array" ref="C16">cp_Luft(C14)</f>
        <v>1004.8717918360188</v>
      </c>
      <c r="D16" s="16" cm="1">
        <f t="array" ref="D16">cp_Luft(D14)</f>
        <v>1004.9123577989944</v>
      </c>
      <c r="E16" s="16" cm="1">
        <f t="array" ref="E16">cp_Luft(E14)</f>
        <v>1004.953026627373</v>
      </c>
      <c r="F16" s="16" cm="1">
        <f t="array" ref="F16">cp_Luft(F14)</f>
        <v>1004.9938014150968</v>
      </c>
      <c r="G16" s="16" cm="1">
        <f t="array" ref="G16">cp_Luft(G14)</f>
        <v>1005.0346884889772</v>
      </c>
      <c r="H16" s="16" cm="1">
        <f t="array" ref="H16">cp_Luft(H14)</f>
        <v>1005.0756995744532</v>
      </c>
      <c r="I16" s="16" cm="1">
        <f t="array" ref="I16">cp_Luft(I14)</f>
        <v>1005.1168570595976</v>
      </c>
      <c r="J16" s="16" cm="1">
        <f t="array" ref="J16">cp_Luft(J14)</f>
        <v>1005.1582111996806</v>
      </c>
      <c r="K16" s="63"/>
      <c r="L16" s="23"/>
    </row>
    <row r="17" spans="1:13" x14ac:dyDescent="0.35">
      <c r="A17" s="4" t="s">
        <v>136</v>
      </c>
      <c r="B17" s="9" t="s">
        <v>59</v>
      </c>
      <c r="C17" s="11" cm="1">
        <f t="array" ref="C17">ny_Luft(C14)</f>
        <v>1.5616342200770156E-5</v>
      </c>
      <c r="D17" s="11" cm="1">
        <f t="array" ref="D17">ny_Luft(D14)</f>
        <v>1.5654707144699794E-5</v>
      </c>
      <c r="E17" s="11" cm="1">
        <f t="array" ref="E17">ny_Luft(E14)</f>
        <v>1.5693202746671269E-5</v>
      </c>
      <c r="F17" s="11" cm="1">
        <f t="array" ref="F17">ny_Luft(F14)</f>
        <v>1.5731832192678178E-5</v>
      </c>
      <c r="G17" s="11" cm="1">
        <f t="array" ref="G17">ny_Luft(G14)</f>
        <v>1.5770601746352013E-5</v>
      </c>
      <c r="H17" s="11" cm="1">
        <f t="array" ref="H17">ny_Luft(H14)</f>
        <v>1.5809522818704647E-5</v>
      </c>
      <c r="I17" s="11" cm="1">
        <f t="array" ref="I17">ny_Luft(I14)</f>
        <v>1.5848616993011716E-5</v>
      </c>
      <c r="J17" s="11" cm="1">
        <f t="array" ref="J17">ny_Luft(J14)</f>
        <v>1.5887932433209659E-5</v>
      </c>
      <c r="K17" s="63"/>
      <c r="L17" s="23"/>
    </row>
    <row r="18" spans="1:13" x14ac:dyDescent="0.35">
      <c r="A18" s="4" t="s">
        <v>137</v>
      </c>
      <c r="B18" s="9" t="s">
        <v>12</v>
      </c>
      <c r="C18" s="18" cm="1">
        <f t="array" ref="C18">lamda_Luft(C14)</f>
        <v>2.5883088970739508E-2</v>
      </c>
      <c r="D18" s="18" cm="1">
        <f t="array" ref="D18">lamda_Luft(D14)</f>
        <v>2.5912914995675176E-2</v>
      </c>
      <c r="E18" s="18" cm="1">
        <f t="array" ref="E18">lamda_Luft(E14)</f>
        <v>2.5942806740974957E-2</v>
      </c>
      <c r="F18" s="18" cm="1">
        <f t="array" ref="F18">lamda_Luft(F14)</f>
        <v>2.5972766404262729E-2</v>
      </c>
      <c r="G18" s="18" cm="1">
        <f t="array" ref="G18">lamda_Luft(G14)</f>
        <v>2.6002798554128848E-2</v>
      </c>
      <c r="H18" s="18" cm="1">
        <f t="array" ref="H18">lamda_Luft(H14)</f>
        <v>2.6032911716116634E-2</v>
      </c>
      <c r="I18" s="18" cm="1">
        <f t="array" ref="I18">lamda_Luft(I14)</f>
        <v>2.6063122229263384E-2</v>
      </c>
      <c r="J18" s="18" cm="1">
        <f t="array" ref="J18">lamda_Luft(J14)</f>
        <v>2.60934668549343E-2</v>
      </c>
      <c r="K18" s="63"/>
      <c r="L18" s="23"/>
    </row>
    <row r="19" spans="1:13" x14ac:dyDescent="0.35">
      <c r="A19" s="4" t="s">
        <v>138</v>
      </c>
      <c r="B19" s="9" t="s">
        <v>15</v>
      </c>
      <c r="C19" s="18" cm="1">
        <f t="array" ref="C19">Prandtlzahl(C17,C18,C15,C16)</f>
        <v>0.71589447878000789</v>
      </c>
      <c r="D19" s="18" cm="1">
        <f t="array" ref="D19">Prandtlzahl(D17,D18,D15,D16)</f>
        <v>0.71596340977340078</v>
      </c>
      <c r="E19" s="18" cm="1">
        <f t="array" ref="E19">Prandtlzahl(E17,E18,E15,E16)</f>
        <v>0.7160310403188529</v>
      </c>
      <c r="F19" s="18" cm="1">
        <f t="array" ref="F19">Prandtlzahl(F17,F18,F15,F16)</f>
        <v>0.71609737235056359</v>
      </c>
      <c r="G19" s="18" cm="1">
        <f t="array" ref="G19">Prandtlzahl(G17,G18,G15,G16)</f>
        <v>0.71616241251196899</v>
      </c>
      <c r="H19" s="18" cm="1">
        <f t="array" ref="H19">Prandtlzahl(H17,H18,H15,H16)</f>
        <v>0.71622617490723295</v>
      </c>
      <c r="I19" s="18" cm="1">
        <f t="array" ref="I19">Prandtlzahl(I17,I18,I15,I16)</f>
        <v>0.71628868804188017</v>
      </c>
      <c r="J19" s="18" cm="1">
        <f t="array" ref="J19">Prandtlzahl(J17,J18,J15,J16)</f>
        <v>0.71635001813361732</v>
      </c>
      <c r="K19" s="63"/>
      <c r="L19" s="23"/>
    </row>
    <row r="20" spans="1:13" x14ac:dyDescent="0.35">
      <c r="A20" s="4" t="s">
        <v>139</v>
      </c>
      <c r="B20" s="9" t="s">
        <v>140</v>
      </c>
      <c r="C20" s="11">
        <f>1/(C14+273.15)</f>
        <v>3.3798865572934609E-3</v>
      </c>
      <c r="D20" s="11">
        <f t="shared" ref="D20:J20" si="5">1/(D14+273.15)</f>
        <v>3.3752587955512454E-3</v>
      </c>
      <c r="E20" s="11">
        <f t="shared" si="5"/>
        <v>3.3706320024580226E-3</v>
      </c>
      <c r="F20" s="11">
        <f t="shared" si="5"/>
        <v>3.3660058715524006E-3</v>
      </c>
      <c r="G20" s="11">
        <f t="shared" si="5"/>
        <v>3.3613797346836696E-3</v>
      </c>
      <c r="H20" s="11">
        <f t="shared" si="5"/>
        <v>3.3567523229885532E-3</v>
      </c>
      <c r="I20" s="11">
        <f t="shared" si="5"/>
        <v>3.3521211837473303E-3</v>
      </c>
      <c r="J20" s="11">
        <f t="shared" si="5"/>
        <v>3.347480769026565E-3</v>
      </c>
      <c r="K20" s="63"/>
      <c r="L20" s="23"/>
    </row>
    <row r="21" spans="1:13" x14ac:dyDescent="0.35">
      <c r="A21" s="23" t="s">
        <v>141</v>
      </c>
      <c r="B21" s="24"/>
      <c r="C21" s="23"/>
      <c r="D21" s="23"/>
      <c r="E21" s="23" t="s">
        <v>142</v>
      </c>
      <c r="F21" s="23"/>
      <c r="G21" s="23"/>
      <c r="H21" s="23"/>
      <c r="I21" s="23"/>
      <c r="J21" s="23"/>
      <c r="K21" s="63"/>
      <c r="L21" s="23"/>
    </row>
    <row r="22" spans="1:13" x14ac:dyDescent="0.35">
      <c r="A22" s="4" t="s">
        <v>143</v>
      </c>
      <c r="B22" s="9" t="s">
        <v>144</v>
      </c>
      <c r="C22" s="10">
        <v>1</v>
      </c>
      <c r="D22" s="23"/>
      <c r="E22" s="4" t="s">
        <v>145</v>
      </c>
      <c r="F22" s="4"/>
      <c r="G22" s="4"/>
      <c r="H22" s="4" t="s">
        <v>15</v>
      </c>
      <c r="I22" s="30">
        <v>0.93</v>
      </c>
      <c r="J22" s="4"/>
      <c r="K22" s="63"/>
      <c r="L22" s="23"/>
    </row>
    <row r="23" spans="1:13" x14ac:dyDescent="0.35">
      <c r="A23" s="4" t="s">
        <v>146</v>
      </c>
      <c r="B23" s="9" t="s">
        <v>144</v>
      </c>
      <c r="C23" s="10">
        <v>1</v>
      </c>
      <c r="D23" s="23"/>
      <c r="E23" s="4" t="s">
        <v>147</v>
      </c>
      <c r="F23" s="4"/>
      <c r="G23" s="4"/>
      <c r="H23" s="4" t="s">
        <v>15</v>
      </c>
      <c r="I23" s="30">
        <f>Prototyp!K18</f>
        <v>0.93</v>
      </c>
      <c r="J23" s="4"/>
      <c r="K23" s="63"/>
      <c r="L23" s="23"/>
    </row>
    <row r="24" spans="1:13" x14ac:dyDescent="0.35">
      <c r="A24" s="4" t="s">
        <v>148</v>
      </c>
      <c r="B24" s="9" t="s">
        <v>15</v>
      </c>
      <c r="C24">
        <v>4</v>
      </c>
      <c r="D24" s="23"/>
      <c r="E24" s="4" t="s">
        <v>149</v>
      </c>
      <c r="F24" s="4"/>
      <c r="G24" s="4"/>
      <c r="H24" s="4" t="s">
        <v>15</v>
      </c>
      <c r="I24" s="10">
        <f>I23</f>
        <v>0.93</v>
      </c>
      <c r="J24" s="4"/>
      <c r="K24" s="63"/>
      <c r="L24" s="23"/>
    </row>
    <row r="25" spans="1:13" x14ac:dyDescent="0.35">
      <c r="A25" s="4" t="s">
        <v>150</v>
      </c>
      <c r="B25" s="9" t="s">
        <v>33</v>
      </c>
      <c r="C25" s="12">
        <f>C24*C60*C61</f>
        <v>8.1829000000000001</v>
      </c>
      <c r="D25" s="23"/>
      <c r="E25" s="4"/>
      <c r="F25" s="4"/>
      <c r="G25" s="4"/>
      <c r="H25" s="4"/>
      <c r="I25" s="4"/>
      <c r="J25" s="4"/>
      <c r="K25" s="63"/>
      <c r="L25" s="23"/>
    </row>
    <row r="26" spans="1:13" x14ac:dyDescent="0.35">
      <c r="A26" s="4" t="s">
        <v>151</v>
      </c>
      <c r="B26" s="9" t="s">
        <v>16</v>
      </c>
      <c r="C26" s="12" cm="1">
        <f t="array" ref="C26">Char_Länge_horiz_Platte(C61,C22,C60,C23)</f>
        <v>0.31667569659442718</v>
      </c>
      <c r="D26" s="23"/>
      <c r="E26" s="4"/>
      <c r="F26" s="4"/>
      <c r="G26" s="4"/>
      <c r="H26" s="4"/>
      <c r="I26" s="4"/>
      <c r="J26" s="4"/>
      <c r="K26" s="63"/>
      <c r="L26" s="23"/>
    </row>
    <row r="27" spans="1:13" x14ac:dyDescent="0.35">
      <c r="A27" s="23" t="s">
        <v>152</v>
      </c>
      <c r="B27" s="24"/>
      <c r="C27" s="29"/>
      <c r="D27" s="23"/>
      <c r="E27" s="23"/>
      <c r="F27" s="23"/>
      <c r="G27" s="23"/>
      <c r="H27" s="23"/>
      <c r="I27" s="23"/>
      <c r="J27" s="23"/>
      <c r="K27" s="63"/>
      <c r="L27" s="23"/>
    </row>
    <row r="28" spans="1:13" x14ac:dyDescent="0.35">
      <c r="A28" s="4" t="s">
        <v>153</v>
      </c>
      <c r="B28" s="9" t="s">
        <v>68</v>
      </c>
      <c r="C28" s="12" cm="1">
        <f t="array" ref="C28">Strahlung_isothermer_Raum(C12,$D6,$I23,$I22,$C25,Kühlsegel!$G9)/(2*$C25)</f>
        <v>70.703289132026242</v>
      </c>
      <c r="D28" s="12" cm="1">
        <f t="array" ref="D28">Strahlung_isothermer_Raum(D12,$D6,$I23,$I22,$C25,Kühlsegel!$G9)/(2*$C25)</f>
        <v>62.217926557338856</v>
      </c>
      <c r="E28" s="12" cm="1">
        <f t="array" ref="E28">Strahlung_isothermer_Raum(E12,$D6,$I23,$I22,$C25,Kühlsegel!$G9)/(2*$C25)</f>
        <v>53.640089888231884</v>
      </c>
      <c r="F28" s="12" cm="1">
        <f t="array" ref="F28">Strahlung_isothermer_Raum(F12,$D6,$I23,$I22,$C25,Kühlsegel!$G9)/(2*$C25)</f>
        <v>44.968183288273245</v>
      </c>
      <c r="G28" s="12" cm="1">
        <f t="array" ref="G28">Strahlung_isothermer_Raum(G12,$D6,$I23,$I22,$C25,Kühlsegel!$G9)/(2*$C25)</f>
        <v>36.199884232423571</v>
      </c>
      <c r="H28" s="12" cm="1">
        <f t="array" ref="H28">Strahlung_isothermer_Raum(H12,$D6,$I23,$I22,$C25,Kühlsegel!$G9)/(2*$C25)</f>
        <v>27.331643691904254</v>
      </c>
      <c r="I28" s="12" cm="1">
        <f t="array" ref="I28">Strahlung_isothermer_Raum(I12,$D6,$I23,$I22,$C25,Kühlsegel!$G9)/(2*$C25)</f>
        <v>18.357483643340146</v>
      </c>
      <c r="J28" s="12" cm="1">
        <f t="array" ref="J28">Strahlung_isothermer_Raum(J12,$D6,$I23,$I22,$C25,Kühlsegel!$G9)/(2*$C25)</f>
        <v>9.2650991275277228</v>
      </c>
      <c r="K28" s="67">
        <f>EXP(M28)</f>
        <v>9.306122618373287</v>
      </c>
      <c r="L28" s="18" cm="1">
        <f t="array" ref="L28:M28">LINEST(LN(C28:J28),LN(C$8:J$8))</f>
        <v>0.97744347377355345</v>
      </c>
      <c r="M28" s="31">
        <v>2.230672529606152</v>
      </c>
    </row>
    <row r="29" spans="1:13" x14ac:dyDescent="0.35">
      <c r="A29" s="4" t="s">
        <v>154</v>
      </c>
      <c r="B29" s="9" t="s">
        <v>68</v>
      </c>
      <c r="C29" s="12" cm="1">
        <f t="array" ref="C29">Strahlung_infinit_parallele_Platten($D6,C12,$I22,$I24)</f>
        <v>33.515765322563652</v>
      </c>
      <c r="D29" s="12" cm="1">
        <f t="array" ref="D29">Strahlung_infinit_parallele_Platten($D6,D12,$I22,$I24)</f>
        <v>29.493414676343622</v>
      </c>
      <c r="E29" s="12" cm="1">
        <f t="array" ref="E29">Strahlung_infinit_parallele_Platten($D6,E12,$I22,$I24)</f>
        <v>25.427228162160006</v>
      </c>
      <c r="F29" s="12" cm="1">
        <f t="array" ref="F29">Strahlung_infinit_parallele_Platten($D6,F12,$I22,$I24)</f>
        <v>21.316449299232229</v>
      </c>
      <c r="G29" s="12" cm="1">
        <f t="array" ref="G29">Strahlung_infinit_parallele_Platten($D6,G12,$I22,$I24)</f>
        <v>17.159977131648191</v>
      </c>
      <c r="H29" s="12" cm="1">
        <f t="array" ref="H29">Strahlung_infinit_parallele_Platten($D6,H12,$I22,$I24)</f>
        <v>12.956129298981281</v>
      </c>
      <c r="I29" s="12" cm="1">
        <f t="array" ref="I29">Strahlung_infinit_parallele_Platten($D6,I12,$I22,$I24)</f>
        <v>8.7020720146991604</v>
      </c>
      <c r="J29" s="12" cm="1">
        <f t="array" ref="J29">Strahlung_infinit_parallele_Platten($D6,J12,$I22,$I24)</f>
        <v>4.3919723093596499</v>
      </c>
      <c r="K29" s="67">
        <f>EXP(M29)</f>
        <v>4.4114188401897065</v>
      </c>
      <c r="L29" s="18" cm="1">
        <f t="array" ref="L29:M29">LINEST(LN(C29:J29),LN(C$8:J$8))</f>
        <v>0.97744347377355356</v>
      </c>
      <c r="M29" s="31">
        <v>1.4841963701832832</v>
      </c>
    </row>
    <row r="30" spans="1:13" x14ac:dyDescent="0.35">
      <c r="A30" s="4" t="s">
        <v>155</v>
      </c>
      <c r="B30" s="9" t="s">
        <v>68</v>
      </c>
      <c r="C30" s="12">
        <f>C28-C29</f>
        <v>37.18752380946259</v>
      </c>
      <c r="D30" s="12">
        <f t="shared" ref="D30:J30" si="6">D28-D29</f>
        <v>32.724511880995237</v>
      </c>
      <c r="E30" s="12">
        <f t="shared" si="6"/>
        <v>28.212861726071878</v>
      </c>
      <c r="F30" s="12">
        <f t="shared" si="6"/>
        <v>23.651733989041016</v>
      </c>
      <c r="G30" s="12">
        <f>G28-G29</f>
        <v>19.03990710077538</v>
      </c>
      <c r="H30" s="12">
        <f t="shared" si="6"/>
        <v>14.375514392922973</v>
      </c>
      <c r="I30" s="12">
        <f t="shared" si="6"/>
        <v>9.6554116286409855</v>
      </c>
      <c r="J30" s="12">
        <f t="shared" si="6"/>
        <v>4.8731268181680729</v>
      </c>
      <c r="K30" s="67">
        <f>EXP(M30)</f>
        <v>4.894703778183584</v>
      </c>
      <c r="L30" s="18" cm="1">
        <f t="array" ref="L30:M30">LINEST(LN(C30:J30),LN(C$8:J$8))</f>
        <v>0.97744347377355345</v>
      </c>
      <c r="M30" s="31">
        <v>1.5881537589692487</v>
      </c>
    </row>
    <row r="31" spans="1:13" x14ac:dyDescent="0.35">
      <c r="A31" s="23" t="s">
        <v>156</v>
      </c>
      <c r="B31" s="24"/>
      <c r="C31" s="29"/>
      <c r="D31" s="23"/>
      <c r="E31" s="23"/>
      <c r="F31" s="23"/>
      <c r="G31" s="23"/>
      <c r="H31" s="23"/>
      <c r="I31" s="23"/>
      <c r="J31" s="23"/>
      <c r="K31" s="63"/>
      <c r="L31" s="23"/>
    </row>
    <row r="32" spans="1:13" x14ac:dyDescent="0.35">
      <c r="A32" s="4" t="s">
        <v>157</v>
      </c>
      <c r="B32" s="9" t="s">
        <v>15</v>
      </c>
      <c r="C32" s="32" cm="1">
        <f t="array" ref="C32">Ra_Luft($C6,C12,$C26)</f>
        <v>20290827.923997547</v>
      </c>
      <c r="D32" s="32" cm="1">
        <f t="array" ref="D32">Ra_Luft($C6,D12,$C26)</f>
        <v>17673333.74924542</v>
      </c>
      <c r="E32" s="32" cm="1">
        <f t="array" ref="E32">Ra_Luft($C6,E12,$C26)</f>
        <v>15080925.554326521</v>
      </c>
      <c r="F32" s="32" cm="1">
        <f t="array" ref="F32">Ra_Luft($C6,F12,$C26)</f>
        <v>12513299.652225098</v>
      </c>
      <c r="G32" s="32" cm="1">
        <f t="array" ref="G32">Ra_Luft($C6,G12,$C26)</f>
        <v>9969961.2959714234</v>
      </c>
      <c r="H32" s="32" cm="1">
        <f t="array" ref="H32">Ra_Luft($C6,H12,$C26)</f>
        <v>7450104.4868576936</v>
      </c>
      <c r="I32" s="32" cm="1">
        <f t="array" ref="I32">Ra_Luft($C6,I12,$C26)</f>
        <v>4952314.3913107449</v>
      </c>
      <c r="J32" s="32" cm="1">
        <f t="array" ref="J32">Ra_Luft($C6,J12,$C26)</f>
        <v>2473581.6292144647</v>
      </c>
      <c r="K32" s="68"/>
      <c r="L32" s="23"/>
    </row>
    <row r="33" spans="1:12" x14ac:dyDescent="0.35">
      <c r="A33" s="4" t="s">
        <v>158</v>
      </c>
      <c r="B33" s="9" t="s">
        <v>15</v>
      </c>
      <c r="C33" s="12" cm="1">
        <f t="array" ref="C33">Nu_O_gekühlt_Lewandowski(C32)</f>
        <v>15.047463453493112</v>
      </c>
      <c r="D33" s="12" cm="1">
        <f t="array" ref="D33">Nu_O_gekühlt_Lewandowski(D32)</f>
        <v>14.637504426491502</v>
      </c>
      <c r="E33" s="12" cm="1">
        <f t="array" ref="E33">Nu_O_gekühlt_Lewandowski(E32)</f>
        <v>14.180415061449729</v>
      </c>
      <c r="F33" s="12" cm="1">
        <f t="array" ref="F33">Nu_O_gekühlt_Lewandowski(F32)</f>
        <v>13.660849681393954</v>
      </c>
      <c r="G33" s="12" cm="1">
        <f t="array" ref="G33">Nu_O_gekühlt_Lewandowski(G32)</f>
        <v>13.05395280147647</v>
      </c>
      <c r="H33" s="12" cm="1">
        <f t="array" ref="H33">Nu_O_gekühlt_Lewandowski(H32)</f>
        <v>12.315039704715451</v>
      </c>
      <c r="I33" s="12" cm="1">
        <f t="array" ref="I33">Nu_O_gekühlt_Lewandowski(I32)</f>
        <v>11.34919309454434</v>
      </c>
      <c r="J33" s="12" cm="1">
        <f t="array" ref="J33">Nu_O_gekühlt_Lewandowski(J32)</f>
        <v>9.8779902464312297</v>
      </c>
      <c r="K33" s="66"/>
      <c r="L33" s="23"/>
    </row>
    <row r="34" spans="1:12" x14ac:dyDescent="0.35">
      <c r="A34" s="4" t="s">
        <v>159</v>
      </c>
      <c r="B34" s="9" t="s">
        <v>13</v>
      </c>
      <c r="C34" s="12">
        <f t="shared" ref="C34:J34" si="7">C33*C18/$C26</f>
        <v>1.2298854618121249</v>
      </c>
      <c r="D34" s="12">
        <f t="shared" si="7"/>
        <v>1.1977566072532271</v>
      </c>
      <c r="E34" s="12">
        <f t="shared" si="7"/>
        <v>1.1616924550959518</v>
      </c>
      <c r="F34" s="12">
        <f t="shared" si="7"/>
        <v>1.1204208642288211</v>
      </c>
      <c r="G34" s="12">
        <f t="shared" si="7"/>
        <v>1.071883029491288</v>
      </c>
      <c r="H34" s="12">
        <f t="shared" si="7"/>
        <v>1.0123806305980041</v>
      </c>
      <c r="I34" s="12">
        <f t="shared" si="7"/>
        <v>0.93406412303705166</v>
      </c>
      <c r="J34" s="12">
        <f t="shared" si="7"/>
        <v>0.81392735173714448</v>
      </c>
      <c r="K34" s="66"/>
      <c r="L34" s="23"/>
    </row>
    <row r="35" spans="1:12" x14ac:dyDescent="0.35">
      <c r="A35" s="4" t="s">
        <v>160</v>
      </c>
      <c r="B35" s="9" t="s">
        <v>13</v>
      </c>
      <c r="C35" s="12">
        <f>C34*C13</f>
        <v>8.073168986569442</v>
      </c>
      <c r="D35" s="12">
        <f t="shared" ref="D35:J35" si="8">D34*D13</f>
        <v>6.8905069355837147</v>
      </c>
      <c r="E35" s="12">
        <f t="shared" si="8"/>
        <v>5.7381420718089702</v>
      </c>
      <c r="F35" s="12">
        <f t="shared" si="8"/>
        <v>4.6205839340006438</v>
      </c>
      <c r="G35" s="12">
        <f t="shared" si="8"/>
        <v>3.5438920648980008</v>
      </c>
      <c r="H35" s="12">
        <f t="shared" si="8"/>
        <v>2.5167868639725794</v>
      </c>
      <c r="I35" s="12">
        <f t="shared" si="8"/>
        <v>1.5532167542707425</v>
      </c>
      <c r="J35" s="12">
        <f t="shared" si="8"/>
        <v>0.68026095152383281</v>
      </c>
      <c r="K35" s="66"/>
      <c r="L35" s="23"/>
    </row>
    <row r="36" spans="1:12" x14ac:dyDescent="0.35">
      <c r="A36" s="4" t="s">
        <v>161</v>
      </c>
      <c r="B36" s="9" t="s">
        <v>15</v>
      </c>
      <c r="C36" s="34" cm="1">
        <f t="array" ref="C36">phi_2(C19) ^(1/5)</f>
        <v>0.80983773681747406</v>
      </c>
      <c r="D36" s="34" cm="1">
        <f t="array" ref="D36">phi_2(D19) ^(1/5)</f>
        <v>0.80984471456416529</v>
      </c>
      <c r="E36" s="34" cm="1">
        <f t="array" ref="E36">phi_2(E19) ^(1/5)</f>
        <v>0.80985155987174362</v>
      </c>
      <c r="F36" s="34" cm="1">
        <f t="array" ref="F36">phi_2(F19) ^(1/5)</f>
        <v>0.80985827298166146</v>
      </c>
      <c r="G36" s="34" cm="1">
        <f t="array" ref="G36">phi_2(G19) ^(1/5)</f>
        <v>0.80986485461090751</v>
      </c>
      <c r="H36" s="34" cm="1">
        <f t="array" ref="H36">phi_2(H19) ^(1/5)</f>
        <v>0.80987130623013959</v>
      </c>
      <c r="I36" s="34" cm="1">
        <f t="array" ref="I36">phi_2(I19) ^(1/5)</f>
        <v>0.80987763076545327</v>
      </c>
      <c r="J36" s="34" cm="1">
        <f t="array" ref="J36">phi_2(J19) ^(1/5)</f>
        <v>0.8098838349556674</v>
      </c>
      <c r="K36" s="69"/>
      <c r="L36" s="23"/>
    </row>
    <row r="37" spans="1:12" x14ac:dyDescent="0.35">
      <c r="A37" s="4" t="s">
        <v>162</v>
      </c>
      <c r="B37" s="9" t="s">
        <v>15</v>
      </c>
      <c r="C37" s="34" cm="1">
        <f t="array" ref="C37">Nu_O_gekühlt_Baehr(C32,C19)</f>
        <v>14.060773555408286</v>
      </c>
      <c r="D37" s="34" cm="1">
        <f t="array" ref="D37">Nu_O_gekühlt_Baehr(D32,D19)</f>
        <v>13.677814147158132</v>
      </c>
      <c r="E37" s="34" cm="1">
        <f t="array" ref="E37">Nu_O_gekühlt_Baehr(E32,E19)</f>
        <v>13.250805296704419</v>
      </c>
      <c r="F37" s="34" cm="1">
        <f t="array" ref="F37">Nu_O_gekühlt_Baehr(F32,F19)</f>
        <v>12.765406304348984</v>
      </c>
      <c r="G37" s="34" cm="1">
        <f t="array" ref="G37">Nu_O_gekühlt_Baehr(G32,G19)</f>
        <v>12.198389524229297</v>
      </c>
      <c r="H37" s="34" cm="1">
        <f t="array" ref="H37">Nu_O_gekühlt_Baehr(H32,H19)</f>
        <v>11.507996875308386</v>
      </c>
      <c r="I37" s="34" cm="1">
        <f t="array" ref="I37">Nu_O_gekühlt_Baehr(I32,I19)</f>
        <v>10.605528016741399</v>
      </c>
      <c r="J37" s="34" cm="1">
        <f t="array" ref="J37">Nu_O_gekühlt_Baehr(J32,J19)</f>
        <v>9.2307976412704633</v>
      </c>
      <c r="K37" s="69"/>
      <c r="L37" s="23"/>
    </row>
    <row r="38" spans="1:12" x14ac:dyDescent="0.35">
      <c r="A38" s="4" t="s">
        <v>163</v>
      </c>
      <c r="B38" s="9" t="s">
        <v>13</v>
      </c>
      <c r="C38" s="34">
        <f t="shared" ref="C38:J38" si="9">C37*C18/$C26</f>
        <v>1.1492396064676675</v>
      </c>
      <c r="D38" s="34">
        <f t="shared" si="9"/>
        <v>1.1192271435211529</v>
      </c>
      <c r="E38" s="34">
        <f t="shared" si="9"/>
        <v>1.0855366694431061</v>
      </c>
      <c r="F38" s="34">
        <f t="shared" si="9"/>
        <v>1.0469793532118925</v>
      </c>
      <c r="G38" s="34">
        <f t="shared" si="9"/>
        <v>1.0016312236602245</v>
      </c>
      <c r="H38" s="34">
        <f t="shared" si="9"/>
        <v>0.94603618119749755</v>
      </c>
      <c r="I38" s="34">
        <f t="shared" si="9"/>
        <v>0.87285881417106725</v>
      </c>
      <c r="J38" s="34">
        <f t="shared" si="9"/>
        <v>0.76059992884637184</v>
      </c>
      <c r="K38" s="69"/>
      <c r="L38" s="23"/>
    </row>
    <row r="39" spans="1:12" x14ac:dyDescent="0.35">
      <c r="A39" s="4" t="s">
        <v>164</v>
      </c>
      <c r="B39" s="9" t="s">
        <v>13</v>
      </c>
      <c r="C39" s="34">
        <f>C38*C13</f>
        <v>7.5437964242635598</v>
      </c>
      <c r="D39" s="34">
        <f t="shared" ref="D39:J39" si="10">D38*D13</f>
        <v>6.4387391797502236</v>
      </c>
      <c r="E39" s="34">
        <f t="shared" si="10"/>
        <v>5.361973047254045</v>
      </c>
      <c r="F39" s="34">
        <f t="shared" si="10"/>
        <v>4.3177132211037366</v>
      </c>
      <c r="G39" s="34">
        <f t="shared" si="10"/>
        <v>3.3116234214177336</v>
      </c>
      <c r="H39" s="34">
        <f t="shared" si="10"/>
        <v>2.3518539981096107</v>
      </c>
      <c r="I39" s="34">
        <f t="shared" si="10"/>
        <v>1.4514409673238418</v>
      </c>
      <c r="J39" s="34">
        <f t="shared" si="10"/>
        <v>0.63569117098928429</v>
      </c>
      <c r="K39" s="69"/>
      <c r="L39" s="23"/>
    </row>
    <row r="40" spans="1:12" x14ac:dyDescent="0.35">
      <c r="A40" s="23" t="s">
        <v>165</v>
      </c>
      <c r="B40" s="24"/>
      <c r="C40" s="23"/>
      <c r="D40" s="23"/>
      <c r="E40" s="23"/>
      <c r="F40" s="23"/>
      <c r="G40" s="23"/>
      <c r="H40" s="23"/>
      <c r="I40" s="23"/>
      <c r="J40" s="23"/>
      <c r="K40" s="63"/>
      <c r="L40" s="23"/>
    </row>
    <row r="41" spans="1:12" x14ac:dyDescent="0.35">
      <c r="A41" s="4" t="s">
        <v>166</v>
      </c>
      <c r="B41" s="9" t="s">
        <v>15</v>
      </c>
      <c r="C41" s="12" cm="1">
        <f t="array" ref="C41">Nu_U_gekühlt_O_geheizt_Lloyd(C32)</f>
        <v>40.912672396966215</v>
      </c>
      <c r="D41" s="12" cm="1">
        <f t="array" ref="D41">Nu_U_gekühlt_O_geheizt_Lloyd(D32)</f>
        <v>39.071859930358798</v>
      </c>
      <c r="E41" s="12" cm="1">
        <f t="array" ref="E41">Nu_U_gekühlt_O_geheizt_Lloyd(E32)</f>
        <v>37.059588360966778</v>
      </c>
      <c r="F41" s="12" cm="1">
        <f t="array" ref="F41">Nu_U_gekühlt_O_geheizt_Lloyd(F32)</f>
        <v>34.824258179426224</v>
      </c>
      <c r="G41" s="12" cm="1">
        <f t="array" ref="G41">Nu_U_gekühlt_O_geheizt_Lloyd(G32)</f>
        <v>30.343601621092823</v>
      </c>
      <c r="H41" s="12" cm="1">
        <f t="array" ref="H41">Nu_U_gekühlt_O_geheizt_Lloyd(H32)</f>
        <v>28.212030893990431</v>
      </c>
      <c r="I41" s="12" cm="1">
        <f t="array" ref="I41">Nu_U_gekühlt_O_geheizt_Lloyd(I32)</f>
        <v>25.473921824937275</v>
      </c>
      <c r="J41" s="12" cm="1">
        <f t="array" ref="J41">Nu_U_gekühlt_O_geheizt_Lloyd(J32)</f>
        <v>21.415357144372649</v>
      </c>
      <c r="K41" s="66"/>
      <c r="L41" s="23"/>
    </row>
    <row r="42" spans="1:12" x14ac:dyDescent="0.35">
      <c r="A42" s="4" t="s">
        <v>167</v>
      </c>
      <c r="B42" s="9" t="s">
        <v>13</v>
      </c>
      <c r="C42" s="12">
        <f t="shared" ref="C42:J42" si="11">C41*C18/$C26</f>
        <v>3.3439457181888148</v>
      </c>
      <c r="D42" s="12">
        <f t="shared" si="11"/>
        <v>3.1971692049200713</v>
      </c>
      <c r="E42" s="12">
        <f t="shared" si="11"/>
        <v>3.0360073383843158</v>
      </c>
      <c r="F42" s="12">
        <f t="shared" si="11"/>
        <v>2.8561785215060609</v>
      </c>
      <c r="G42" s="12">
        <f t="shared" si="11"/>
        <v>2.4915665106139353</v>
      </c>
      <c r="H42" s="12">
        <f t="shared" si="11"/>
        <v>2.3192222121681203</v>
      </c>
      <c r="I42" s="12">
        <f t="shared" si="11"/>
        <v>2.0965610728010762</v>
      </c>
      <c r="J42" s="12">
        <f t="shared" si="11"/>
        <v>1.7645841403135383</v>
      </c>
      <c r="K42" s="66"/>
      <c r="L42" s="23"/>
    </row>
    <row r="43" spans="1:12" x14ac:dyDescent="0.35">
      <c r="A43" s="4" t="s">
        <v>168</v>
      </c>
      <c r="B43" s="9" t="s">
        <v>68</v>
      </c>
      <c r="C43" s="12">
        <f t="shared" ref="C43:J43" si="12">(C42)*($C6-C12)</f>
        <v>21.950205692387897</v>
      </c>
      <c r="D43" s="12">
        <f t="shared" si="12"/>
        <v>18.392815741803595</v>
      </c>
      <c r="E43" s="12">
        <f t="shared" si="12"/>
        <v>14.996259433625138</v>
      </c>
      <c r="F43" s="12">
        <f t="shared" si="12"/>
        <v>11.778799387310748</v>
      </c>
      <c r="G43" s="12">
        <f t="shared" si="12"/>
        <v>8.23769249366784</v>
      </c>
      <c r="H43" s="12">
        <f t="shared" si="12"/>
        <v>5.7656061581999012</v>
      </c>
      <c r="I43" s="12">
        <f t="shared" si="12"/>
        <v>3.4862850465109885</v>
      </c>
      <c r="J43" s="12">
        <f t="shared" si="12"/>
        <v>1.4747970857246862</v>
      </c>
      <c r="K43" s="66"/>
      <c r="L43" s="23"/>
    </row>
    <row r="44" spans="1:12" x14ac:dyDescent="0.35">
      <c r="A44" s="4" t="s">
        <v>169</v>
      </c>
      <c r="B44" s="9" t="s">
        <v>15</v>
      </c>
      <c r="C44" s="34" cm="1">
        <f t="array" ref="C44">phi_1(C19) ^(1/5)</f>
        <v>0.83454946007795505</v>
      </c>
      <c r="D44" s="34" cm="1">
        <f t="array" ref="D44">phi_1(D19) ^(1/5)</f>
        <v>0.83455575758021971</v>
      </c>
      <c r="E44" s="34" cm="1">
        <f t="array" ref="E44">phi_1(E19) ^(1/5)</f>
        <v>0.83456193553406521</v>
      </c>
      <c r="F44" s="34" cm="1">
        <f t="array" ref="F44">phi_1(F19) ^(1/5)</f>
        <v>0.83456799415858174</v>
      </c>
      <c r="G44" s="34" cm="1">
        <f t="array" ref="G44">phi_1(G19) ^(1/5)</f>
        <v>0.8345739341020062</v>
      </c>
      <c r="H44" s="34" cm="1">
        <f t="array" ref="H44">phi_1(H19) ^(1/5)</f>
        <v>0.83457975669273021</v>
      </c>
      <c r="I44" s="34" cm="1">
        <f t="array" ref="I44">phi_1(I19) ^(1/5)</f>
        <v>0.83458546457263505</v>
      </c>
      <c r="J44" s="34" cm="1">
        <f t="array" ref="J44">phi_1(J19) ^(1/5)</f>
        <v>0.83459106382450765</v>
      </c>
      <c r="K44" s="69"/>
      <c r="L44" s="23"/>
    </row>
    <row r="45" spans="1:12" x14ac:dyDescent="0.35">
      <c r="A45" s="4" t="s">
        <v>170</v>
      </c>
      <c r="B45" s="9" t="s">
        <v>15</v>
      </c>
      <c r="C45" s="35" cm="1">
        <f t="array" ref="C45">Nu_U_gekühlt_O_geheizt_Baehr(C32,C19)</f>
        <v>30.265276726427565</v>
      </c>
      <c r="D45" s="35" cm="1">
        <f t="array" ref="D45">Nu_U_gekühlt_O_geheizt_Baehr(D32,D19)</f>
        <v>28.90389348613904</v>
      </c>
      <c r="E45" s="35" cm="1">
        <f t="array" ref="E45">Nu_U_gekühlt_O_geheizt_Baehr(E32,E19)</f>
        <v>27.415628854476296</v>
      </c>
      <c r="F45" s="35" cm="1">
        <f t="array" ref="F45">Nu_U_gekühlt_O_geheizt_Baehr(F32,F19)</f>
        <v>25.76230690329449</v>
      </c>
      <c r="G45" s="35" cm="1">
        <f t="array" ref="G45">Nu_U_gekühlt_O_geheizt_Baehr(G32,G19)</f>
        <v>23.883452701065622</v>
      </c>
      <c r="H45" s="35" cm="1">
        <f t="array" ref="H45">Nu_U_gekühlt_O_geheizt_Baehr(H32,H19)</f>
        <v>21.673304081283437</v>
      </c>
      <c r="I45" s="35" cm="1">
        <f t="array" ref="I45">Nu_U_gekühlt_O_geheizt_Baehr(I32,I19)</f>
        <v>18.915247252690168</v>
      </c>
      <c r="J45" s="35" cm="1">
        <f t="array" ref="J45">Nu_U_gekühlt_O_geheizt_Baehr(J32,J19)</f>
        <v>15.008002446649684</v>
      </c>
      <c r="K45" s="66"/>
      <c r="L45" s="23"/>
    </row>
    <row r="46" spans="1:12" x14ac:dyDescent="0.35">
      <c r="A46" s="4" t="s">
        <v>171</v>
      </c>
      <c r="B46" s="9" t="s">
        <v>13</v>
      </c>
      <c r="C46" s="35">
        <f t="shared" ref="C46:J46" si="13">C45*C18/$C26</f>
        <v>2.4736942514330034</v>
      </c>
      <c r="D46" s="35">
        <f t="shared" si="13"/>
        <v>2.3651456142831484</v>
      </c>
      <c r="E46" s="35">
        <f t="shared" si="13"/>
        <v>2.2459518324352885</v>
      </c>
      <c r="F46" s="35">
        <f t="shared" si="13"/>
        <v>2.1129451562907464</v>
      </c>
      <c r="G46" s="35">
        <f t="shared" si="13"/>
        <v>1.9611123178746732</v>
      </c>
      <c r="H46" s="35">
        <f t="shared" si="13"/>
        <v>1.7816940731868309</v>
      </c>
      <c r="I46" s="35">
        <f t="shared" si="13"/>
        <v>1.5567674009887307</v>
      </c>
      <c r="J46" s="35">
        <f t="shared" si="13"/>
        <v>1.2366304664736243</v>
      </c>
      <c r="K46" s="66"/>
      <c r="L46" s="23"/>
    </row>
    <row r="47" spans="1:12" x14ac:dyDescent="0.35">
      <c r="A47" s="4" t="s">
        <v>164</v>
      </c>
      <c r="B47" s="9" t="s">
        <v>68</v>
      </c>
      <c r="C47" s="35">
        <f>C46*C13</f>
        <v>16.23773297027126</v>
      </c>
      <c r="D47" s="35">
        <f t="shared" ref="D47:J47" si="14">D46*D13</f>
        <v>13.606313803817701</v>
      </c>
      <c r="E47" s="35">
        <f t="shared" si="14"/>
        <v>11.093805976289058</v>
      </c>
      <c r="F47" s="35">
        <f t="shared" si="14"/>
        <v>8.7137260241055436</v>
      </c>
      <c r="G47" s="35">
        <f t="shared" si="14"/>
        <v>6.4838888110657118</v>
      </c>
      <c r="H47" s="35">
        <f t="shared" si="14"/>
        <v>4.4293066298252581</v>
      </c>
      <c r="I47" s="35">
        <f t="shared" si="14"/>
        <v>2.588684384811021</v>
      </c>
      <c r="J47" s="35">
        <f t="shared" si="14"/>
        <v>1.0335460726455379</v>
      </c>
      <c r="K47" s="66"/>
      <c r="L47" s="23"/>
    </row>
    <row r="48" spans="1:12" x14ac:dyDescent="0.35">
      <c r="A48" s="23" t="s">
        <v>172</v>
      </c>
      <c r="B48" s="24"/>
      <c r="C48" s="23"/>
      <c r="D48" s="23"/>
      <c r="E48" s="23"/>
      <c r="F48" s="23"/>
      <c r="G48" s="23"/>
      <c r="H48" s="23"/>
      <c r="I48" s="23"/>
      <c r="J48" s="23"/>
      <c r="K48" s="66"/>
      <c r="L48" s="23"/>
    </row>
    <row r="49" spans="1:13" x14ac:dyDescent="0.35">
      <c r="A49" s="4" t="s">
        <v>172</v>
      </c>
      <c r="B49" s="9" t="s">
        <v>68</v>
      </c>
      <c r="C49" s="12">
        <f t="shared" ref="C49:J49" si="15">C9-C28</f>
        <v>18.929752106605505</v>
      </c>
      <c r="D49" s="12">
        <f t="shared" si="15"/>
        <v>15.848778027405331</v>
      </c>
      <c r="E49" s="12">
        <f t="shared" si="15"/>
        <v>12.917608001676697</v>
      </c>
      <c r="F49" s="12">
        <f t="shared" si="15"/>
        <v>10.147115146743502</v>
      </c>
      <c r="G49" s="12">
        <f t="shared" si="15"/>
        <v>7.5525968237393784</v>
      </c>
      <c r="H49" s="12">
        <f t="shared" si="15"/>
        <v>5.1570945660914447</v>
      </c>
      <c r="I49" s="12">
        <f t="shared" si="15"/>
        <v>2.9993683848474824</v>
      </c>
      <c r="J49" s="12">
        <f t="shared" si="15"/>
        <v>1.1597983307080497</v>
      </c>
      <c r="K49" s="67">
        <f>EXP(M49)</f>
        <v>1.1733124414218492</v>
      </c>
      <c r="L49" s="18" cm="1">
        <f t="array" ref="L49:M49">LINEST(LN(C49:J49),LN(C$8:J$8))</f>
        <v>1.339972245738388</v>
      </c>
      <c r="M49" s="31">
        <v>0.15983089517699578</v>
      </c>
    </row>
    <row r="50" spans="1:13" x14ac:dyDescent="0.35">
      <c r="A50" s="4" t="s">
        <v>173</v>
      </c>
      <c r="B50" s="9" t="s">
        <v>68</v>
      </c>
      <c r="C50" s="12">
        <f t="shared" ref="C50:J50" si="16">C9-C29</f>
        <v>56.117275916068095</v>
      </c>
      <c r="D50" s="12">
        <f t="shared" si="16"/>
        <v>48.573289908400568</v>
      </c>
      <c r="E50" s="12">
        <f t="shared" si="16"/>
        <v>41.130469727748576</v>
      </c>
      <c r="F50" s="12">
        <f t="shared" si="16"/>
        <v>33.798849135784522</v>
      </c>
      <c r="G50" s="12">
        <f t="shared" si="16"/>
        <v>26.592503924514759</v>
      </c>
      <c r="H50" s="12">
        <f t="shared" si="16"/>
        <v>19.532608959014418</v>
      </c>
      <c r="I50" s="12">
        <f t="shared" si="16"/>
        <v>12.654780013488468</v>
      </c>
      <c r="J50" s="12">
        <f t="shared" si="16"/>
        <v>6.0329251488761226</v>
      </c>
      <c r="K50" s="66"/>
      <c r="L50" s="23"/>
    </row>
    <row r="51" spans="1:13" x14ac:dyDescent="0.35">
      <c r="A51" s="23" t="s">
        <v>174</v>
      </c>
      <c r="B51" s="9" t="s">
        <v>68</v>
      </c>
      <c r="C51" s="29"/>
      <c r="D51" s="29">
        <f t="shared" ref="D51:J51" si="17">$K6*D8^$J6</f>
        <v>0</v>
      </c>
      <c r="E51" s="29">
        <f t="shared" si="17"/>
        <v>0</v>
      </c>
      <c r="F51" s="29">
        <f t="shared" si="17"/>
        <v>0</v>
      </c>
      <c r="G51" s="29">
        <f t="shared" si="17"/>
        <v>0</v>
      </c>
      <c r="H51" s="29">
        <f t="shared" si="17"/>
        <v>0</v>
      </c>
      <c r="I51" s="29">
        <f t="shared" si="17"/>
        <v>0</v>
      </c>
      <c r="J51" s="29">
        <f t="shared" si="17"/>
        <v>0</v>
      </c>
      <c r="K51" s="66"/>
      <c r="L51" s="23"/>
    </row>
    <row r="52" spans="1:13" x14ac:dyDescent="0.35">
      <c r="A52" s="4" t="s">
        <v>175</v>
      </c>
      <c r="B52" s="9" t="s">
        <v>68</v>
      </c>
      <c r="C52" s="35">
        <f>C28+C47+C39</f>
        <v>94.484818526561057</v>
      </c>
      <c r="D52" s="35">
        <f t="shared" ref="D52:J52" si="18">D28+D47+D39</f>
        <v>82.262979540906784</v>
      </c>
      <c r="E52" s="35">
        <f t="shared" si="18"/>
        <v>70.095868911774986</v>
      </c>
      <c r="F52" s="35">
        <f t="shared" si="18"/>
        <v>57.99962253348253</v>
      </c>
      <c r="G52" s="35">
        <f t="shared" si="18"/>
        <v>45.995396464907017</v>
      </c>
      <c r="H52" s="35">
        <f t="shared" si="18"/>
        <v>34.112804319839121</v>
      </c>
      <c r="I52" s="35">
        <f t="shared" si="18"/>
        <v>22.397608995475007</v>
      </c>
      <c r="J52" s="35">
        <f t="shared" si="18"/>
        <v>10.934336371162546</v>
      </c>
      <c r="K52" s="66"/>
      <c r="L52" s="23"/>
    </row>
    <row r="53" spans="1:13" x14ac:dyDescent="0.35">
      <c r="A53" s="4" t="s">
        <v>176</v>
      </c>
      <c r="B53" s="9" t="s">
        <v>68</v>
      </c>
      <c r="C53" s="35">
        <f>C39+C47</f>
        <v>23.781529394534822</v>
      </c>
      <c r="D53" s="35">
        <f t="shared" ref="D53:J53" si="19">D39+D47</f>
        <v>20.045052983567924</v>
      </c>
      <c r="E53" s="35">
        <f t="shared" si="19"/>
        <v>16.455779023543101</v>
      </c>
      <c r="F53" s="35">
        <f t="shared" si="19"/>
        <v>13.031439245209281</v>
      </c>
      <c r="G53" s="35">
        <f t="shared" si="19"/>
        <v>9.7955122324834463</v>
      </c>
      <c r="H53" s="35">
        <f t="shared" si="19"/>
        <v>6.7811606279348684</v>
      </c>
      <c r="I53" s="35">
        <f t="shared" si="19"/>
        <v>4.0401253521348632</v>
      </c>
      <c r="J53" s="35">
        <f t="shared" si="19"/>
        <v>1.6692372436348222</v>
      </c>
      <c r="K53" s="66"/>
      <c r="L53" s="23"/>
    </row>
    <row r="54" spans="1:13" x14ac:dyDescent="0.35">
      <c r="A54" s="4" t="s">
        <v>177</v>
      </c>
      <c r="B54" s="9" t="s">
        <v>68</v>
      </c>
      <c r="C54" s="12">
        <f t="shared" ref="C54:J54" si="20">C28+C43+C35</f>
        <v>100.72666381098358</v>
      </c>
      <c r="D54" s="12">
        <f t="shared" si="20"/>
        <v>87.501249234726174</v>
      </c>
      <c r="E54" s="12">
        <f t="shared" si="20"/>
        <v>74.374491393665991</v>
      </c>
      <c r="F54" s="12">
        <f t="shared" si="20"/>
        <v>61.367566609584635</v>
      </c>
      <c r="G54" s="12">
        <f t="shared" si="20"/>
        <v>47.98146879098941</v>
      </c>
      <c r="H54" s="12">
        <f t="shared" si="20"/>
        <v>35.614036714076732</v>
      </c>
      <c r="I54" s="12">
        <f t="shared" si="20"/>
        <v>23.396985444121878</v>
      </c>
      <c r="J54" s="12">
        <f t="shared" si="20"/>
        <v>11.420157164776242</v>
      </c>
      <c r="K54" s="70"/>
      <c r="L54" s="23"/>
    </row>
    <row r="55" spans="1:13" x14ac:dyDescent="0.35">
      <c r="A55" s="4" t="s">
        <v>178</v>
      </c>
      <c r="B55" s="9"/>
      <c r="C55" s="12">
        <f>C43+C35</f>
        <v>30.023374678957339</v>
      </c>
      <c r="D55" s="12">
        <f t="shared" ref="D55:J55" si="21">D43+D35</f>
        <v>25.283322677387311</v>
      </c>
      <c r="E55" s="12">
        <f>E43+E35</f>
        <v>20.734401505434107</v>
      </c>
      <c r="F55" s="12">
        <f t="shared" si="21"/>
        <v>16.39938332131139</v>
      </c>
      <c r="G55" s="12">
        <f t="shared" si="21"/>
        <v>11.781584558565841</v>
      </c>
      <c r="H55" s="12">
        <f t="shared" si="21"/>
        <v>8.2823930221724815</v>
      </c>
      <c r="I55" s="12">
        <f t="shared" si="21"/>
        <v>5.0395018007817312</v>
      </c>
      <c r="J55" s="12">
        <f t="shared" si="21"/>
        <v>2.1550580372485189</v>
      </c>
      <c r="K55" s="70"/>
      <c r="L55" s="23"/>
    </row>
    <row r="56" spans="1:13" x14ac:dyDescent="0.35">
      <c r="A56" s="4" t="s">
        <v>179</v>
      </c>
      <c r="B56" s="9" t="s">
        <v>15</v>
      </c>
      <c r="C56" s="36">
        <f>(C49-C53)/C53</f>
        <v>-0.20401451931196199</v>
      </c>
      <c r="D56" s="36">
        <f>(D49-D53)/D49</f>
        <v>-0.2647696212860382</v>
      </c>
      <c r="E56" s="36">
        <f t="shared" ref="E56:I56" si="22">(E49-E53)/E49</f>
        <v>-0.2739029564457407</v>
      </c>
      <c r="F56" s="36">
        <f t="shared" si="22"/>
        <v>-0.28425065220546358</v>
      </c>
      <c r="G56" s="36">
        <f t="shared" si="22"/>
        <v>-0.29697274475106622</v>
      </c>
      <c r="H56" s="36">
        <f t="shared" si="22"/>
        <v>-0.31491880574032238</v>
      </c>
      <c r="I56" s="36">
        <f t="shared" si="22"/>
        <v>-0.34699204424010865</v>
      </c>
      <c r="J56" s="36">
        <f>(J49-J53)/J49</f>
        <v>-0.43924784114472998</v>
      </c>
      <c r="K56" s="70"/>
      <c r="L56" s="23"/>
    </row>
    <row r="57" spans="1:13" x14ac:dyDescent="0.35">
      <c r="A57" s="4" t="s">
        <v>180</v>
      </c>
      <c r="B57" s="9" t="s">
        <v>15</v>
      </c>
      <c r="C57" s="37">
        <f>(C49-C55)/C55</f>
        <v>-0.36949952132220121</v>
      </c>
      <c r="D57" s="37">
        <f t="shared" ref="D57:J57" si="23">(D49-D55)/D55</f>
        <v>-0.37315287908815759</v>
      </c>
      <c r="E57" s="37">
        <f t="shared" si="23"/>
        <v>-0.37699634116320024</v>
      </c>
      <c r="F57" s="37">
        <f t="shared" si="23"/>
        <v>-0.38125020020984057</v>
      </c>
      <c r="G57" s="37">
        <f t="shared" si="23"/>
        <v>-0.35894897785644314</v>
      </c>
      <c r="H57" s="37">
        <f t="shared" si="23"/>
        <v>-0.3773424477339361</v>
      </c>
      <c r="I57" s="37">
        <f t="shared" si="23"/>
        <v>-0.40482839308000285</v>
      </c>
      <c r="J57" s="37">
        <f t="shared" si="23"/>
        <v>-0.46182501321921332</v>
      </c>
      <c r="K57" s="63"/>
      <c r="L57" s="23"/>
    </row>
    <row r="58" spans="1:13" x14ac:dyDescent="0.35">
      <c r="A58" s="24"/>
      <c r="B58" s="24"/>
      <c r="C58" s="29"/>
      <c r="D58" s="29"/>
      <c r="E58" s="29"/>
      <c r="F58" s="29"/>
      <c r="G58" s="29"/>
      <c r="H58" s="29"/>
      <c r="I58" s="29"/>
      <c r="J58" s="29"/>
      <c r="K58" s="23"/>
      <c r="L58" s="23"/>
    </row>
    <row r="59" spans="1:13" x14ac:dyDescent="0.35">
      <c r="A59" s="23" t="s">
        <v>181</v>
      </c>
      <c r="B59" s="24"/>
      <c r="C59" s="29"/>
      <c r="D59" s="29"/>
      <c r="E59" s="29"/>
      <c r="F59" s="29"/>
      <c r="G59" s="29"/>
      <c r="H59" s="29"/>
      <c r="I59" s="29"/>
      <c r="J59" s="29"/>
      <c r="K59" s="23"/>
      <c r="L59" s="23"/>
    </row>
    <row r="60" spans="1:13" x14ac:dyDescent="0.35">
      <c r="A60" s="4" t="s">
        <v>24</v>
      </c>
      <c r="B60" s="9" t="s">
        <v>16</v>
      </c>
      <c r="C60" s="27">
        <v>0.86499999999999999</v>
      </c>
      <c r="D60" s="23"/>
      <c r="E60" s="23"/>
      <c r="F60" s="23"/>
      <c r="G60" s="23"/>
      <c r="H60" s="23"/>
      <c r="I60" s="23"/>
      <c r="J60" s="23"/>
      <c r="K60" s="23"/>
      <c r="L60" s="23"/>
    </row>
    <row r="61" spans="1:13" x14ac:dyDescent="0.35">
      <c r="A61" s="4" t="s">
        <v>28</v>
      </c>
      <c r="B61" s="9" t="s">
        <v>16</v>
      </c>
      <c r="C61" s="27">
        <v>2.3650000000000002</v>
      </c>
      <c r="D61" s="23"/>
      <c r="E61" s="23"/>
      <c r="F61" s="23"/>
      <c r="G61" s="23"/>
      <c r="H61" s="23"/>
      <c r="I61" s="23"/>
      <c r="J61" s="23"/>
      <c r="K61" s="23"/>
      <c r="L61" s="23"/>
    </row>
    <row r="62" spans="1:13" x14ac:dyDescent="0.35">
      <c r="A62" s="4" t="s">
        <v>36</v>
      </c>
      <c r="B62" s="9" t="s">
        <v>16</v>
      </c>
      <c r="C62" s="27">
        <v>2E-3</v>
      </c>
      <c r="D62" s="23"/>
      <c r="E62" s="23"/>
      <c r="F62" s="23"/>
      <c r="G62" s="23"/>
      <c r="H62" s="23"/>
      <c r="I62" s="23"/>
      <c r="J62" s="23"/>
      <c r="K62" s="23"/>
      <c r="L62" s="23"/>
    </row>
    <row r="63" spans="1:13" x14ac:dyDescent="0.35">
      <c r="A63" s="4" t="s">
        <v>39</v>
      </c>
      <c r="B63" s="9" t="s">
        <v>16</v>
      </c>
      <c r="C63" s="27">
        <v>0.01</v>
      </c>
      <c r="D63" s="23"/>
      <c r="E63" s="23"/>
      <c r="F63" s="23"/>
      <c r="G63" s="23"/>
      <c r="H63" s="23"/>
      <c r="I63" s="23"/>
      <c r="J63" s="23"/>
      <c r="K63" s="23"/>
      <c r="L63" s="23"/>
    </row>
    <row r="64" spans="1:13" x14ac:dyDescent="0.35">
      <c r="A64" s="4" t="s">
        <v>41</v>
      </c>
      <c r="B64" s="9" t="s">
        <v>12</v>
      </c>
      <c r="C64" s="27">
        <v>40</v>
      </c>
      <c r="D64" s="23"/>
      <c r="E64" s="23"/>
      <c r="F64" s="23"/>
      <c r="G64" s="23"/>
      <c r="H64" s="23"/>
      <c r="I64" s="23"/>
      <c r="J64" s="23"/>
      <c r="K64" s="23"/>
      <c r="L64" s="23"/>
    </row>
    <row r="65" spans="1:12" x14ac:dyDescent="0.35">
      <c r="A65" s="4" t="s">
        <v>43</v>
      </c>
      <c r="B65" s="9" t="s">
        <v>16</v>
      </c>
      <c r="C65" s="27">
        <v>3.5000000000000001E-3</v>
      </c>
      <c r="D65" s="23"/>
      <c r="E65" s="23"/>
      <c r="F65" s="23"/>
      <c r="G65" s="23"/>
      <c r="H65" s="23"/>
      <c r="I65" s="23"/>
      <c r="J65" s="23"/>
      <c r="K65" s="23"/>
      <c r="L65" s="23"/>
    </row>
    <row r="66" spans="1:12" x14ac:dyDescent="0.35">
      <c r="A66" s="4" t="s">
        <v>46</v>
      </c>
      <c r="B66" s="9" t="s">
        <v>15</v>
      </c>
      <c r="C66" s="27">
        <v>6</v>
      </c>
      <c r="D66" s="23"/>
      <c r="E66" s="23"/>
      <c r="F66" s="23"/>
      <c r="G66" s="23"/>
      <c r="H66" s="23"/>
      <c r="I66" s="23"/>
      <c r="J66" s="23"/>
      <c r="K66" s="23"/>
      <c r="L66" s="23"/>
    </row>
    <row r="67" spans="1:12" x14ac:dyDescent="0.35">
      <c r="A67" s="4" t="s">
        <v>47</v>
      </c>
      <c r="B67" s="9" t="s">
        <v>15</v>
      </c>
      <c r="C67" s="27">
        <v>6</v>
      </c>
      <c r="D67" s="23"/>
      <c r="E67" s="23"/>
      <c r="F67" s="23"/>
      <c r="G67" s="23"/>
      <c r="H67" s="23"/>
      <c r="I67" s="23"/>
      <c r="J67" s="23"/>
      <c r="K67" s="23"/>
      <c r="L67" s="23"/>
    </row>
    <row r="68" spans="1:12" x14ac:dyDescent="0.35">
      <c r="A68" s="4" t="s">
        <v>48</v>
      </c>
      <c r="B68" s="9" t="s">
        <v>33</v>
      </c>
      <c r="C68" s="2" cm="1">
        <f t="array" ref="C68">Querschnitt(C63,C60,C65,C66,C67)</f>
        <v>7.8537500000000005E-5</v>
      </c>
      <c r="D68" s="23"/>
      <c r="E68" s="23"/>
      <c r="F68" s="23"/>
      <c r="G68" s="23"/>
      <c r="H68" s="23"/>
      <c r="I68" s="23"/>
      <c r="J68" s="23"/>
      <c r="K68" s="23"/>
      <c r="L68" s="23"/>
    </row>
    <row r="69" spans="1:12" x14ac:dyDescent="0.35">
      <c r="A69" s="4" t="s">
        <v>49</v>
      </c>
      <c r="B69" s="9" t="s">
        <v>16</v>
      </c>
      <c r="C69" s="38">
        <f>(C60-C66*C63)/(C66*2)</f>
        <v>6.7083333333333328E-2</v>
      </c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35">
      <c r="A70" s="23" t="s">
        <v>50</v>
      </c>
      <c r="B70" s="24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35">
      <c r="A71" s="4" t="s">
        <v>51</v>
      </c>
      <c r="B71" s="9" t="s">
        <v>52</v>
      </c>
      <c r="C71" s="27">
        <v>200</v>
      </c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35">
      <c r="A72" s="4"/>
      <c r="B72" s="9"/>
      <c r="C72" s="4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35">
      <c r="A73" s="4" t="s">
        <v>54</v>
      </c>
      <c r="B73" s="9" t="s">
        <v>55</v>
      </c>
      <c r="C73" s="3" cm="1">
        <f t="array" ref="C73">rho_sat_Wasser(C7)</f>
        <v>998.39060518823999</v>
      </c>
      <c r="D73" s="3" cm="1">
        <f t="array" ref="D73">rho_sat_Wasser(D7)</f>
        <v>998.203348405165</v>
      </c>
      <c r="E73" s="3" cm="1">
        <f t="array" ref="E73">rho_sat_Wasser(E7)</f>
        <v>998.00644239999997</v>
      </c>
      <c r="F73" s="3" cm="1">
        <f t="array" ref="F73">rho_sat_Wasser(F7)</f>
        <v>997.79998862956506</v>
      </c>
      <c r="G73" s="3" cm="1">
        <f t="array" ref="G73">rho_sat_Wasser(G7)</f>
        <v>997.58408762344004</v>
      </c>
      <c r="H73" s="3" cm="1">
        <f t="array" ref="H73">rho_sat_Wasser(H7)</f>
        <v>997.35883898396503</v>
      </c>
      <c r="I73" s="3" cm="1">
        <f t="array" ref="I73">rho_sat_Wasser(I7)</f>
        <v>997.12434138623996</v>
      </c>
      <c r="J73" s="3" cm="1">
        <f t="array" ref="J73">rho_sat_Wasser(J7)</f>
        <v>996.88069257812504</v>
      </c>
      <c r="K73" s="23"/>
      <c r="L73" s="23"/>
    </row>
    <row r="74" spans="1:12" x14ac:dyDescent="0.35">
      <c r="A74" s="4" t="s">
        <v>57</v>
      </c>
      <c r="B74" s="9" t="s">
        <v>12</v>
      </c>
      <c r="C74" s="39" cm="1">
        <f t="array" ref="C74">lamda_sat_Wasser(C7)</f>
        <v>0.59553496250959992</v>
      </c>
      <c r="D74" s="39" cm="1">
        <f t="array" ref="D74">lamda_sat_Wasser(D7)</f>
        <v>0.59719954515269991</v>
      </c>
      <c r="E74" s="39" cm="1">
        <f t="array" ref="E74">lamda_sat_Wasser(E7)</f>
        <v>0.59884632239999991</v>
      </c>
      <c r="F74" s="39" cm="1">
        <f t="array" ref="F74">lamda_sat_Wasser(F7)</f>
        <v>0.60047535368329996</v>
      </c>
      <c r="G74" s="39" cm="1">
        <f t="array" ref="G74">lamda_sat_Wasser(G7)</f>
        <v>0.60208669843439999</v>
      </c>
      <c r="H74" s="39" cm="1">
        <f t="array" ref="H74">lamda_sat_Wasser(H7)</f>
        <v>0.60368041608509992</v>
      </c>
      <c r="I74" s="39" cm="1">
        <f t="array" ref="I74">lamda_sat_Wasser(I7)</f>
        <v>0.60525656606719991</v>
      </c>
      <c r="J74" s="39" cm="1">
        <f t="array" ref="J74">lamda_sat_Wasser(J7)</f>
        <v>0.60681520781249998</v>
      </c>
      <c r="K74" s="23"/>
      <c r="L74" s="23"/>
    </row>
    <row r="75" spans="1:12" x14ac:dyDescent="0.35">
      <c r="A75" s="4" t="s">
        <v>58</v>
      </c>
      <c r="B75" s="9" t="s">
        <v>59</v>
      </c>
      <c r="C75" s="2" cm="1">
        <f t="array" ref="C75">ny_sat_Wasser(C7)</f>
        <v>1.0949925624666294E-6</v>
      </c>
      <c r="D75" s="2" cm="1">
        <f t="array" ref="D75">ny_sat_Wasser(D7)</f>
        <v>1.0689848381612227E-6</v>
      </c>
      <c r="E75" s="2" cm="1">
        <f t="array" ref="E75">ny_sat_Wasser(E7)</f>
        <v>1.0437823105324388E-6</v>
      </c>
      <c r="F75" s="2" cm="1">
        <f t="array" ref="F75">ny_sat_Wasser(F7)</f>
        <v>1.0193587667862889E-6</v>
      </c>
      <c r="G75" s="2" cm="1">
        <f t="array" ref="G75">ny_sat_Wasser(G7)</f>
        <v>9.9568885422013186E-7</v>
      </c>
      <c r="H75" s="2" cm="1">
        <f t="array" ref="H75">ny_sat_Wasser(H7)</f>
        <v>9.7274805196773953E-7</v>
      </c>
      <c r="I75" s="2" cm="1">
        <f t="array" ref="I75">ny_sat_Wasser(I7)</f>
        <v>9.5051264367273639E-7</v>
      </c>
      <c r="J75" s="2" cm="1">
        <f t="array" ref="J75">ny_sat_Wasser(J7)</f>
        <v>9.2895969105990357E-7</v>
      </c>
      <c r="K75" s="23"/>
      <c r="L75" s="23"/>
    </row>
    <row r="76" spans="1:12" x14ac:dyDescent="0.35">
      <c r="A76" s="4" t="s">
        <v>60</v>
      </c>
      <c r="B76" s="9" t="s">
        <v>61</v>
      </c>
      <c r="C76" s="2" cm="1">
        <f t="array" ref="C76">cp_sat_Wasser(C7)</f>
        <v>4189.6574657092797</v>
      </c>
      <c r="D76" s="2" cm="1">
        <f t="array" ref="D76">cp_sat_Wasser(D7)</f>
        <v>4188.6682719096298</v>
      </c>
      <c r="E76" s="2" cm="1">
        <f t="array" ref="E76">cp_sat_Wasser(E7)</f>
        <v>4187.7265648000002</v>
      </c>
      <c r="F76" s="2" cm="1">
        <f t="array" ref="F76">cp_sat_Wasser(F7)</f>
        <v>4186.8315930744302</v>
      </c>
      <c r="G76" s="2" cm="1">
        <f t="array" ref="G76">cp_sat_Wasser(G7)</f>
        <v>4185.9826155076798</v>
      </c>
      <c r="H76" s="2" cm="1">
        <f t="array" ref="H76">cp_sat_Wasser(H7)</f>
        <v>4185.1789009552303</v>
      </c>
      <c r="I76" s="2" cm="1">
        <f t="array" ref="I76">cp_sat_Wasser(I7)</f>
        <v>4184.4197283532803</v>
      </c>
      <c r="J76" s="2" cm="1">
        <f t="array" ref="J76">cp_sat_Wasser(J7)</f>
        <v>4183.7043867187504</v>
      </c>
      <c r="K76" s="23"/>
      <c r="L76" s="23"/>
    </row>
    <row r="77" spans="1:12" x14ac:dyDescent="0.35">
      <c r="A77" s="23" t="s">
        <v>62</v>
      </c>
      <c r="B77" s="24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35">
      <c r="A78" s="4" t="s">
        <v>69</v>
      </c>
      <c r="B78" s="9" t="s">
        <v>182</v>
      </c>
      <c r="C78" s="40">
        <f>Kühlsegel!C26</f>
        <v>2.6912490953356658E-2</v>
      </c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35">
      <c r="A79" s="4" t="s">
        <v>71</v>
      </c>
      <c r="B79" s="9" t="s">
        <v>72</v>
      </c>
      <c r="C79" s="2" cm="1">
        <f t="array" ref="C79">Volumenstrom($C78*$C60*$C61,C7)</f>
        <v>5.5144304513137117E-5</v>
      </c>
      <c r="D79" s="2" cm="1">
        <f t="array" ref="D79">Volumenstrom($C78*$C60*$C61,D7)</f>
        <v>5.5154649244082508E-5</v>
      </c>
      <c r="E79" s="2" cm="1">
        <f t="array" ref="E79">Volumenstrom($C78*$C60*$C61,E7)</f>
        <v>5.5165531219576382E-5</v>
      </c>
      <c r="F79" s="2" cm="1">
        <f t="array" ref="F79">Volumenstrom($C78*$C60*$C61,F7)</f>
        <v>5.5176945462959938E-5</v>
      </c>
      <c r="G79" s="2" cm="1">
        <f t="array" ref="G79">Volumenstrom($C78*$C60*$C61,G7)</f>
        <v>5.5188887070878667E-5</v>
      </c>
      <c r="H79" s="2" cm="1">
        <f t="array" ref="H79">Volumenstrom($C78*$C60*$C61,H7)</f>
        <v>5.5201351212410231E-5</v>
      </c>
      <c r="I79" s="2" cm="1">
        <f t="array" ref="I79">Volumenstrom($C78*$C60*$C61,I7)</f>
        <v>5.5214333128218739E-5</v>
      </c>
      <c r="J79" s="2" cm="1">
        <f t="array" ref="J79">Volumenstrom($C78*$C60*$C61,J7)</f>
        <v>5.5227828129734673E-5</v>
      </c>
      <c r="K79" s="23"/>
      <c r="L79" s="23"/>
    </row>
    <row r="80" spans="1:12" x14ac:dyDescent="0.35">
      <c r="A80" s="4" t="s">
        <v>73</v>
      </c>
      <c r="B80" s="9" t="s">
        <v>74</v>
      </c>
      <c r="C80" s="39" cm="1">
        <f t="array" ref="C80">Fliessgeschwindigkeit(C79,$C68)</f>
        <v>0.70213979962612905</v>
      </c>
      <c r="D80" s="39" cm="1">
        <f t="array" ref="D80">Fliessgeschwindigkeit(D79,$C68)</f>
        <v>0.70227151671599564</v>
      </c>
      <c r="E80" s="39" cm="1">
        <f t="array" ref="E80">Fliessgeschwindigkeit(E79,$C68)</f>
        <v>0.70241007441765246</v>
      </c>
      <c r="F80" s="39" cm="1">
        <f t="array" ref="F80">Fliessgeschwindigkeit(F79,$C68)</f>
        <v>0.70255540936444294</v>
      </c>
      <c r="G80" s="39" cm="1">
        <f t="array" ref="G80">Fliessgeschwindigkeit(G79,$C68)</f>
        <v>0.70270745912307708</v>
      </c>
      <c r="H80" s="39" cm="1">
        <f t="array" ref="H80">Fliessgeschwindigkeit(H79,$C68)</f>
        <v>0.70286616218252718</v>
      </c>
      <c r="I80" s="39" cm="1">
        <f t="array" ref="I80">Fliessgeschwindigkeit(I79,$C68)</f>
        <v>0.70303145794325939</v>
      </c>
      <c r="J80" s="39" cm="1">
        <f t="array" ref="J80">Fliessgeschwindigkeit(J79,$C68)</f>
        <v>0.70320328670679189</v>
      </c>
      <c r="K80" s="23"/>
      <c r="L80" s="23"/>
    </row>
    <row r="81" spans="1:12" x14ac:dyDescent="0.35">
      <c r="A81" s="4" t="s">
        <v>75</v>
      </c>
      <c r="B81" s="9" t="s">
        <v>15</v>
      </c>
      <c r="C81" s="3" cm="1">
        <f t="array" ref="C81">Reynoldszahl_Kanal(C80,$C63,$C65,C75)</f>
        <v>6412.2791669420794</v>
      </c>
      <c r="D81" s="3" cm="1">
        <f t="array" ref="D81">Reynoldszahl_Kanal(D80,$C63,$C65,D75)</f>
        <v>6569.5180291236284</v>
      </c>
      <c r="E81" s="3" cm="1">
        <f t="array" ref="E81">Reynoldszahl_Kanal(E80,$C63,$C65,E75)</f>
        <v>6729.4690409090126</v>
      </c>
      <c r="F81" s="3" cm="1">
        <f t="array" ref="F81">Reynoldszahl_Kanal(F80,$C63,$C65,F75)</f>
        <v>6892.1309381521751</v>
      </c>
      <c r="G81" s="3" cm="1">
        <f t="array" ref="G81">Reynoldszahl_Kanal(G80,$C63,$C65,G75)</f>
        <v>7057.5005047482337</v>
      </c>
      <c r="H81" s="3" cm="1">
        <f t="array" ref="H81">Reynoldszahl_Kanal(H80,$C63,$C65,H75)</f>
        <v>7225.5725494461049</v>
      </c>
      <c r="I81" s="3" cm="1">
        <f t="array" ref="I81">Reynoldszahl_Kanal(I80,$C63,$C65,I75)</f>
        <v>7396.3398869348939</v>
      </c>
      <c r="J81" s="3" cm="1">
        <f t="array" ref="J81">Reynoldszahl_Kanal(J80,$C63,$C65,J75)</f>
        <v>7569.7933233730173</v>
      </c>
      <c r="K81" s="23"/>
      <c r="L81" s="23"/>
    </row>
    <row r="82" spans="1:12" x14ac:dyDescent="0.35">
      <c r="A82" s="4" t="s">
        <v>76</v>
      </c>
      <c r="B82" s="9" t="s">
        <v>15</v>
      </c>
      <c r="C82" s="39">
        <f>C76*C75*C73/C74</f>
        <v>7.6910017421324</v>
      </c>
      <c r="D82" s="39">
        <f t="shared" ref="D82:J82" si="24">D76*D75*D73/D74</f>
        <v>7.4842289863709102</v>
      </c>
      <c r="E82" s="39">
        <f t="shared" si="24"/>
        <v>7.2846083492599334</v>
      </c>
      <c r="F82" s="39">
        <f t="shared" si="24"/>
        <v>7.0918715832918613</v>
      </c>
      <c r="G82" s="39">
        <f t="shared" si="24"/>
        <v>6.9057610412236752</v>
      </c>
      <c r="H82" s="39">
        <f t="shared" si="24"/>
        <v>6.7260292353471103</v>
      </c>
      <c r="I82" s="39">
        <f t="shared" si="24"/>
        <v>6.5524384161200366</v>
      </c>
      <c r="J82" s="39">
        <f t="shared" si="24"/>
        <v>6.3847601692562419</v>
      </c>
      <c r="K82" s="23"/>
      <c r="L82" s="23"/>
    </row>
    <row r="83" spans="1:12" x14ac:dyDescent="0.35">
      <c r="A83" s="4" t="s">
        <v>77</v>
      </c>
      <c r="B83" s="9" t="s">
        <v>15</v>
      </c>
      <c r="C83" s="39" cm="1">
        <f t="array" ref="C83">Nu_Rohrstroemung(C81,C82)</f>
        <v>46.057857181086696</v>
      </c>
      <c r="D83" s="39" cm="1">
        <f t="array" ref="D83">Nu_Rohrstroemung(D81,D82)</f>
        <v>47.156648301306411</v>
      </c>
      <c r="E83" s="39" cm="1">
        <f t="array" ref="E83">Nu_Rohrstroemung(E81,E82)</f>
        <v>48.255441237449396</v>
      </c>
      <c r="F83" s="39" cm="1">
        <f t="array" ref="F83">Nu_Rohrstroemung(F81,F82)</f>
        <v>49.354165351720127</v>
      </c>
      <c r="G83" s="39" cm="1">
        <f t="array" ref="G83">Nu_Rohrstroemung(G81,G82)</f>
        <v>50.452744799113368</v>
      </c>
      <c r="H83" s="39" cm="1">
        <f t="array" ref="H83">Nu_Rohrstroemung(H81,H82)</f>
        <v>51.551098744587648</v>
      </c>
      <c r="I83" s="39" cm="1">
        <f t="array" ref="I83">Nu_Rohrstroemung(I81,I82)</f>
        <v>52.649141589323449</v>
      </c>
      <c r="J83" s="39" cm="1">
        <f t="array" ref="J83">Nu_Rohrstroemung(J81,J82)</f>
        <v>53.746783205740904</v>
      </c>
      <c r="K83" s="23"/>
      <c r="L83" s="23"/>
    </row>
    <row r="84" spans="1:12" ht="16.5" x14ac:dyDescent="0.35">
      <c r="A84" s="4" t="s">
        <v>78</v>
      </c>
      <c r="B84" s="9" t="s">
        <v>79</v>
      </c>
      <c r="C84" s="3" cm="1">
        <f t="array" ref="C84">alpha_Rohrstroemung(C83,C74,$C63,$C65)</f>
        <v>2742.9064249610974</v>
      </c>
      <c r="D84" s="3" cm="1">
        <f t="array" ref="D84">alpha_Rohrstroemung(D83,D74,$C63,$C65)</f>
        <v>2816.1928916466027</v>
      </c>
      <c r="E84" s="3" cm="1">
        <f t="array" ref="E84">alpha_Rohrstroemung(E83,E74,$C63,$C65)</f>
        <v>2889.7593520835871</v>
      </c>
      <c r="F84" s="3" cm="1">
        <f t="array" ref="F84">alpha_Rohrstroemung(F83,F74,$C63,$C65)</f>
        <v>2963.595989531821</v>
      </c>
      <c r="G84" s="3" cm="1">
        <f t="array" ref="G84">alpha_Rohrstroemung(G83,G74,$C63,$C65)</f>
        <v>3037.6926543051513</v>
      </c>
      <c r="H84" s="3" cm="1">
        <f t="array" ref="H84">alpha_Rohrstroemung(H83,H74,$C63,$C65)</f>
        <v>3112.038873977674</v>
      </c>
      <c r="I84" s="3" cm="1">
        <f t="array" ref="I84">alpha_Rohrstroemung(I83,I74,$C63,$C65)</f>
        <v>3186.623864473971</v>
      </c>
      <c r="J84" s="3" cm="1">
        <f t="array" ref="J84">alpha_Rohrstroemung(J83,J74,$C63,$C65)</f>
        <v>3261.4365420245049</v>
      </c>
      <c r="K84" s="23"/>
      <c r="L84" s="23"/>
    </row>
    <row r="85" spans="1:12" x14ac:dyDescent="0.35">
      <c r="A85" s="4" t="s">
        <v>81</v>
      </c>
      <c r="B85" s="9" t="s">
        <v>13</v>
      </c>
      <c r="C85" s="39">
        <f>1/(C87/C9)</f>
        <v>62.425650470272984</v>
      </c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35">
      <c r="A86" s="4" t="s">
        <v>183</v>
      </c>
      <c r="B86" s="9" t="s">
        <v>45</v>
      </c>
      <c r="C86" s="27">
        <v>0.65</v>
      </c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35">
      <c r="A87" s="4" t="s">
        <v>90</v>
      </c>
      <c r="B87" s="9" t="s">
        <v>45</v>
      </c>
      <c r="C87" s="39">
        <f t="shared" ref="C87:J87" si="25">C12-C7</f>
        <v>1.4358367203769049</v>
      </c>
      <c r="D87" s="39">
        <f t="shared" si="25"/>
        <v>1.2471559798902128</v>
      </c>
      <c r="E87" s="39">
        <f t="shared" si="25"/>
        <v>1.0605325474589407</v>
      </c>
      <c r="F87" s="39">
        <f t="shared" si="25"/>
        <v>0.87602830193548442</v>
      </c>
      <c r="G87" s="39">
        <f t="shared" si="25"/>
        <v>0.69376977954402363</v>
      </c>
      <c r="H87" s="39">
        <f t="shared" si="25"/>
        <v>0.51399148906480363</v>
      </c>
      <c r="I87" s="39">
        <f t="shared" si="25"/>
        <v>0.33714119195526493</v>
      </c>
      <c r="J87" s="39">
        <f t="shared" si="25"/>
        <v>0.16422399361322704</v>
      </c>
      <c r="K87" s="23"/>
      <c r="L87" s="2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7" r:id="rId4" name="Button 9">
              <controlPr defaultSize="0" print="0" autoFill="0" autoPict="0" macro="[0]!von_Kuehlsegel">
                <anchor moveWithCells="1" sizeWithCells="1">
                  <from>
                    <xdr:col>10</xdr:col>
                    <xdr:colOff>6350</xdr:colOff>
                    <xdr:row>2</xdr:row>
                    <xdr:rowOff>0</xdr:rowOff>
                  </from>
                  <to>
                    <xdr:col>11</xdr:col>
                    <xdr:colOff>571500</xdr:colOff>
                    <xdr:row>3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5" name="Button 10">
              <controlPr defaultSize="0" print="0" autoFill="0" autoPict="0" macro="[0]!von_Prototyp">
                <anchor moveWithCells="1" sizeWithCells="1">
                  <from>
                    <xdr:col>10</xdr:col>
                    <xdr:colOff>6350</xdr:colOff>
                    <xdr:row>3</xdr:row>
                    <xdr:rowOff>114300</xdr:rowOff>
                  </from>
                  <to>
                    <xdr:col>11</xdr:col>
                    <xdr:colOff>571500</xdr:colOff>
                    <xdr:row>5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DE59A-3119-48D9-A761-C9F5B771436B}">
  <sheetPr codeName="Sheet2">
    <tabColor theme="4" tint="0.79998168889431442"/>
  </sheetPr>
  <dimension ref="A1:O38"/>
  <sheetViews>
    <sheetView zoomScale="94" zoomScaleNormal="130" workbookViewId="0">
      <selection activeCell="F52" sqref="F52"/>
    </sheetView>
  </sheetViews>
  <sheetFormatPr defaultColWidth="8.7265625" defaultRowHeight="14.5" x14ac:dyDescent="0.35"/>
  <cols>
    <col min="1" max="1" width="37.453125" customWidth="1"/>
    <col min="13" max="13" width="11" bestFit="1" customWidth="1"/>
  </cols>
  <sheetData>
    <row r="1" spans="1:13" ht="18.5" x14ac:dyDescent="0.45">
      <c r="A1" s="7" t="s">
        <v>184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35">
      <c r="A2" s="62" t="s">
        <v>185</v>
      </c>
      <c r="B2" s="23"/>
      <c r="C2" s="23"/>
      <c r="D2" s="23"/>
      <c r="E2" s="23"/>
      <c r="F2" s="23"/>
      <c r="G2" s="23"/>
      <c r="H2" s="23" t="s">
        <v>186</v>
      </c>
      <c r="I2" s="23"/>
      <c r="J2" s="23"/>
      <c r="K2" s="23"/>
      <c r="L2" s="23"/>
      <c r="M2" s="23"/>
    </row>
    <row r="3" spans="1:13" x14ac:dyDescent="0.35">
      <c r="A3" s="4" t="s">
        <v>187</v>
      </c>
      <c r="B3" s="9" t="s">
        <v>15</v>
      </c>
      <c r="C3" s="6" t="s">
        <v>394</v>
      </c>
      <c r="D3" s="4"/>
      <c r="E3" s="4"/>
      <c r="F3" s="4"/>
      <c r="G3" s="4" t="s">
        <v>407</v>
      </c>
      <c r="H3" s="9"/>
      <c r="I3" s="47" t="s">
        <v>346</v>
      </c>
      <c r="J3" s="9" t="s">
        <v>190</v>
      </c>
      <c r="K3" s="9" t="s">
        <v>406</v>
      </c>
      <c r="L3" s="9" t="s">
        <v>191</v>
      </c>
      <c r="M3" s="4" t="s">
        <v>192</v>
      </c>
    </row>
    <row r="4" spans="1:13" x14ac:dyDescent="0.35">
      <c r="A4" s="4" t="s">
        <v>193</v>
      </c>
      <c r="B4" s="9" t="s">
        <v>33</v>
      </c>
      <c r="C4">
        <v>2</v>
      </c>
      <c r="D4" s="4"/>
      <c r="E4" s="4"/>
      <c r="F4" s="4"/>
      <c r="G4" s="4"/>
      <c r="H4" s="9"/>
      <c r="I4" s="47"/>
      <c r="J4" s="9"/>
      <c r="K4" s="9"/>
      <c r="L4" s="9"/>
      <c r="M4" s="4"/>
    </row>
    <row r="5" spans="1:13" x14ac:dyDescent="0.35">
      <c r="A5" s="4" t="s">
        <v>194</v>
      </c>
      <c r="B5" s="9" t="s">
        <v>15</v>
      </c>
      <c r="C5">
        <v>22</v>
      </c>
      <c r="D5" s="4"/>
      <c r="E5" s="4"/>
      <c r="F5" s="4"/>
      <c r="G5" s="4"/>
      <c r="H5" s="9"/>
      <c r="I5" s="9" t="s">
        <v>17</v>
      </c>
      <c r="J5" s="9" t="s">
        <v>68</v>
      </c>
      <c r="K5" s="9" t="s">
        <v>17</v>
      </c>
      <c r="L5" s="9" t="s">
        <v>74</v>
      </c>
      <c r="M5" s="4" t="s">
        <v>68</v>
      </c>
    </row>
    <row r="6" spans="1:13" x14ac:dyDescent="0.35">
      <c r="A6" s="4" t="s">
        <v>196</v>
      </c>
      <c r="B6" s="9" t="s">
        <v>33</v>
      </c>
      <c r="C6">
        <f>C4*C5</f>
        <v>44</v>
      </c>
      <c r="D6" s="4"/>
      <c r="E6" s="4"/>
      <c r="F6" s="4"/>
      <c r="G6" s="4"/>
      <c r="H6" s="9"/>
      <c r="I6" s="9"/>
      <c r="J6" s="9"/>
      <c r="K6" s="9"/>
      <c r="L6" s="9"/>
      <c r="M6" s="4"/>
    </row>
    <row r="7" spans="1:13" x14ac:dyDescent="0.35">
      <c r="A7" s="4" t="s">
        <v>408</v>
      </c>
      <c r="B7" s="9" t="s">
        <v>17</v>
      </c>
      <c r="C7">
        <v>0</v>
      </c>
      <c r="G7">
        <f>C7-I$7</f>
        <v>-20</v>
      </c>
      <c r="I7">
        <v>20</v>
      </c>
      <c r="J7">
        <v>418.77499999999998</v>
      </c>
      <c r="K7" cm="1">
        <f t="array" ref="K7">T_Sky(J7)</f>
        <v>19.999965986391715</v>
      </c>
      <c r="L7">
        <v>2</v>
      </c>
      <c r="M7" s="5" cm="1">
        <f t="array" ref="M7">qu_collector(C$3,C7,D$7,I$7,L$7,J$7)</f>
        <v>578.10331814135486</v>
      </c>
    </row>
    <row r="8" spans="1:13" x14ac:dyDescent="0.35">
      <c r="C8">
        <v>1</v>
      </c>
      <c r="G8">
        <f t="shared" ref="G8:G27" si="0">C8-I$7</f>
        <v>-19</v>
      </c>
      <c r="M8" s="5" cm="1">
        <f t="array" ref="M8">qu_collector(C$3,C8,D$7,I$7,L$7,J$7)</f>
        <v>551.93447741501177</v>
      </c>
    </row>
    <row r="9" spans="1:13" x14ac:dyDescent="0.35">
      <c r="C9">
        <v>2</v>
      </c>
      <c r="G9">
        <f t="shared" si="0"/>
        <v>-18</v>
      </c>
      <c r="M9" s="5" cm="1">
        <f t="array" ref="M9">qu_collector(C$3,C9,D$7,I$7,L$7,J$7)</f>
        <v>525.47709255882683</v>
      </c>
    </row>
    <row r="10" spans="1:13" x14ac:dyDescent="0.35">
      <c r="C10">
        <v>3</v>
      </c>
      <c r="G10">
        <f t="shared" si="0"/>
        <v>-17</v>
      </c>
      <c r="M10" s="5" cm="1">
        <f t="array" ref="M10">qu_collector(C$3,C10,D$7,I$7,L$7,J$7)</f>
        <v>498.73124729877611</v>
      </c>
    </row>
    <row r="11" spans="1:13" x14ac:dyDescent="0.35">
      <c r="C11">
        <v>4</v>
      </c>
      <c r="G11">
        <f t="shared" si="0"/>
        <v>-16</v>
      </c>
      <c r="M11" s="5" cm="1">
        <f t="array" ref="M11">qu_collector(C$3,C11,D$7,I$7,L$7,J$7)</f>
        <v>471.69702566568145</v>
      </c>
    </row>
    <row r="12" spans="1:13" x14ac:dyDescent="0.35">
      <c r="C12">
        <v>5</v>
      </c>
      <c r="G12">
        <f t="shared" si="0"/>
        <v>-15</v>
      </c>
      <c r="M12" s="5" cm="1">
        <f t="array" ref="M12">qu_collector(C$3,C12,D$7,I$7,L$7,J$7)</f>
        <v>444.37451199521092</v>
      </c>
    </row>
    <row r="13" spans="1:13" x14ac:dyDescent="0.35">
      <c r="C13">
        <v>6</v>
      </c>
      <c r="G13">
        <f t="shared" si="0"/>
        <v>-14</v>
      </c>
      <c r="M13" s="5" cm="1">
        <f t="array" ref="M13">qu_collector(C$3,C13,D$7,I$7,L$7,J$7)</f>
        <v>416.76379092787869</v>
      </c>
    </row>
    <row r="14" spans="1:13" x14ac:dyDescent="0.35">
      <c r="C14">
        <v>7</v>
      </c>
      <c r="G14">
        <f t="shared" si="0"/>
        <v>-13</v>
      </c>
      <c r="M14" s="5" cm="1">
        <f t="array" ref="M14">qu_collector(C$3,C14,D$7,I$7,L$7,J$7)</f>
        <v>388.86494740904487</v>
      </c>
    </row>
    <row r="15" spans="1:13" x14ac:dyDescent="0.35">
      <c r="C15">
        <v>8</v>
      </c>
      <c r="G15">
        <f t="shared" si="0"/>
        <v>-12</v>
      </c>
      <c r="M15" s="5" cm="1">
        <f t="array" ref="M15">qu_collector(C$3,C15,D$7,I$7,L$7,J$7)</f>
        <v>360.67806668891581</v>
      </c>
    </row>
    <row r="16" spans="1:13" x14ac:dyDescent="0.35">
      <c r="C16">
        <v>9</v>
      </c>
      <c r="G16">
        <f t="shared" si="0"/>
        <v>-11</v>
      </c>
      <c r="M16" s="5" cm="1">
        <f t="array" ref="M16">qu_collector(C$3,C16,D$7,I$7,L$7,J$7)</f>
        <v>332.20323432254389</v>
      </c>
    </row>
    <row r="17" spans="3:15" x14ac:dyDescent="0.35">
      <c r="C17">
        <v>10</v>
      </c>
      <c r="G17">
        <f t="shared" si="0"/>
        <v>-10</v>
      </c>
      <c r="M17" s="5" cm="1">
        <f t="array" ref="M17">qu_collector(C$3,C17,D$7,I$7,L$7,J$7)</f>
        <v>303.44053616982745</v>
      </c>
    </row>
    <row r="18" spans="3:15" x14ac:dyDescent="0.35">
      <c r="C18">
        <v>11</v>
      </c>
      <c r="G18">
        <f t="shared" si="0"/>
        <v>-9</v>
      </c>
      <c r="M18" s="5" cm="1">
        <f t="array" ref="M18">qu_collector(C$3,C18,D$7,I$7,L$7,J$7)</f>
        <v>274.39005839551089</v>
      </c>
    </row>
    <row r="19" spans="3:15" x14ac:dyDescent="0.35">
      <c r="C19">
        <v>12</v>
      </c>
      <c r="G19">
        <f t="shared" si="0"/>
        <v>-8</v>
      </c>
      <c r="M19" s="5" cm="1">
        <f t="array" ref="M19">qu_collector(C$3,C19,D$7,I$7,L$7,J$7)</f>
        <v>245.05188746918506</v>
      </c>
    </row>
    <row r="20" spans="3:15" x14ac:dyDescent="0.35">
      <c r="C20">
        <v>13</v>
      </c>
      <c r="G20">
        <f t="shared" si="0"/>
        <v>-7</v>
      </c>
      <c r="M20" s="5" cm="1">
        <f t="array" ref="M20">qu_collector(C$3,C20,D$7,I$7,L$7,J$7)</f>
        <v>215.42611016528645</v>
      </c>
    </row>
    <row r="21" spans="3:15" x14ac:dyDescent="0.35">
      <c r="C21">
        <v>14</v>
      </c>
      <c r="G21">
        <f t="shared" si="0"/>
        <v>-6</v>
      </c>
      <c r="M21" s="5" cm="1">
        <f t="array" ref="M21">qu_collector(C$3,C21,D$7,I$7,L$7,J$7)</f>
        <v>185.51281356309789</v>
      </c>
    </row>
    <row r="22" spans="3:15" x14ac:dyDescent="0.35">
      <c r="C22">
        <v>15</v>
      </c>
      <c r="G22">
        <f t="shared" si="0"/>
        <v>-5</v>
      </c>
      <c r="M22" s="5" cm="1">
        <f t="array" ref="M22">qu_collector(C$3,C22,D$7,I$7,L$7,J$7)</f>
        <v>155.31208504674822</v>
      </c>
    </row>
    <row r="23" spans="3:15" x14ac:dyDescent="0.35">
      <c r="C23">
        <v>16</v>
      </c>
      <c r="G23">
        <f t="shared" si="0"/>
        <v>-4</v>
      </c>
      <c r="M23" s="5" cm="1">
        <f t="array" ref="M23">qu_collector(C$3,C23,D$7,I$7,L$7,J$7)</f>
        <v>124.82401230521225</v>
      </c>
    </row>
    <row r="24" spans="3:15" x14ac:dyDescent="0.35">
      <c r="C24">
        <v>17</v>
      </c>
      <c r="G24">
        <f>C24-I$7</f>
        <v>-3</v>
      </c>
      <c r="M24" s="5" cm="1">
        <f t="array" ref="M24">qu_collector(C$3,C24,D$7,I$7,L$7,J$7)</f>
        <v>94.048683332311128</v>
      </c>
    </row>
    <row r="25" spans="3:15" x14ac:dyDescent="0.35">
      <c r="C25">
        <v>18</v>
      </c>
      <c r="G25">
        <f t="shared" si="0"/>
        <v>-2</v>
      </c>
      <c r="M25" s="5" cm="1">
        <f t="array" ref="M25">qu_collector(C$3,C25,D$7,I$7,L$7,J$7)</f>
        <v>62.986186426711818</v>
      </c>
    </row>
    <row r="26" spans="3:15" x14ac:dyDescent="0.35">
      <c r="C26">
        <v>19</v>
      </c>
      <c r="G26">
        <f t="shared" si="0"/>
        <v>-1</v>
      </c>
      <c r="M26" s="5" cm="1">
        <f t="array" ref="M26">qu_collector(C$3,C26,D$7,I$7,L$7,J$7)</f>
        <v>31.636610191927485</v>
      </c>
      <c r="N26" s="92">
        <f>M26*C$6</f>
        <v>1392.0108484448094</v>
      </c>
      <c r="O26">
        <f>N26*9</f>
        <v>12528.097636003286</v>
      </c>
    </row>
    <row r="27" spans="3:15" x14ac:dyDescent="0.35">
      <c r="C27">
        <v>20</v>
      </c>
      <c r="G27">
        <f t="shared" si="0"/>
        <v>0</v>
      </c>
      <c r="M27" s="5" cm="1">
        <f t="array" ref="M27">qu_collector(C$3,C27,D$7,I$7,L$7,J$7)</f>
        <v>4.3536317391044576E-5</v>
      </c>
    </row>
    <row r="28" spans="3:15" x14ac:dyDescent="0.35">
      <c r="C28">
        <v>21</v>
      </c>
      <c r="G28">
        <f t="shared" ref="G28:G32" si="1">C28-I$7</f>
        <v>1</v>
      </c>
      <c r="M28" s="5" cm="1">
        <f t="array" ref="M28">qu_collector(C$3,C28,D$7,I$7,L$7,J$7)</f>
        <v>-31.623424326913188</v>
      </c>
    </row>
    <row r="29" spans="3:15" x14ac:dyDescent="0.35">
      <c r="C29">
        <v>22</v>
      </c>
      <c r="G29">
        <f t="shared" si="1"/>
        <v>2</v>
      </c>
      <c r="M29" s="5" cm="1">
        <f t="array" ref="M29">qu_collector(C$3,C29,D$7,I$7,L$7,J$7)</f>
        <v>-62.933703879712837</v>
      </c>
      <c r="N29" s="92">
        <f>M29*C$6</f>
        <v>-2769.0829707073649</v>
      </c>
      <c r="O29">
        <f>N29*9</f>
        <v>-24921.746736366284</v>
      </c>
    </row>
    <row r="30" spans="3:15" x14ac:dyDescent="0.35">
      <c r="C30">
        <v>23</v>
      </c>
      <c r="G30">
        <f t="shared" si="1"/>
        <v>3</v>
      </c>
      <c r="M30" s="5" cm="1">
        <f t="array" ref="M30">qu_collector(C$3,C30,D$7,I$7,L$7,J$7)</f>
        <v>-93.930705299184069</v>
      </c>
      <c r="N30" s="92">
        <f>M30*C$6</f>
        <v>-4132.9510331640995</v>
      </c>
      <c r="O30">
        <f>N30*9</f>
        <v>-37196.559298476895</v>
      </c>
    </row>
    <row r="31" spans="3:15" x14ac:dyDescent="0.35">
      <c r="C31">
        <v>24</v>
      </c>
      <c r="G31">
        <f t="shared" si="1"/>
        <v>4</v>
      </c>
      <c r="M31" s="5" cm="1">
        <f t="array" ref="M31">qu_collector(C$3,C31,D$7,I$7,L$7,J$7)</f>
        <v>-124.61433845758334</v>
      </c>
      <c r="N31" s="92">
        <f>M31*C$6</f>
        <v>-5483.0308921336673</v>
      </c>
      <c r="O31">
        <f>N31*9</f>
        <v>-49347.278029203007</v>
      </c>
    </row>
    <row r="32" spans="3:15" x14ac:dyDescent="0.35">
      <c r="C32">
        <v>25</v>
      </c>
      <c r="G32">
        <f t="shared" si="1"/>
        <v>5</v>
      </c>
      <c r="M32" s="5" cm="1">
        <f t="array" ref="M32">qu_collector(C$3,C32,D$7,I$7,L$7,J$7)</f>
        <v>-154.98451292232107</v>
      </c>
      <c r="N32" s="92"/>
      <c r="O32" s="92"/>
    </row>
    <row r="33" spans="3:15" x14ac:dyDescent="0.35">
      <c r="C33">
        <v>26</v>
      </c>
      <c r="G33">
        <f>C33-I$7</f>
        <v>6</v>
      </c>
      <c r="M33" s="5" cm="1">
        <f t="array" ref="M33">qu_collector(C$3,C33,D$7,I$7,L$7,J$7)</f>
        <v>-185.04113795596146</v>
      </c>
      <c r="N33" s="92"/>
      <c r="O33" s="92"/>
    </row>
    <row r="34" spans="3:15" x14ac:dyDescent="0.35">
      <c r="C34">
        <v>27</v>
      </c>
      <c r="G34">
        <f t="shared" ref="G34:G38" si="2">C34-I$7</f>
        <v>7</v>
      </c>
      <c r="M34" s="5" cm="1">
        <f t="array" ref="M34">qu_collector(C$3,C34,D$7,I$7,L$7,J$7)</f>
        <v>-214.78412251622282</v>
      </c>
    </row>
    <row r="35" spans="3:15" x14ac:dyDescent="0.35">
      <c r="C35">
        <v>28</v>
      </c>
      <c r="G35">
        <f t="shared" si="2"/>
        <v>8</v>
      </c>
      <c r="M35" s="5" cm="1">
        <f t="array" ref="M35">qu_collector(C$3,C35,D$7,I$7,L$7,J$7)</f>
        <v>-244.21337525597718</v>
      </c>
    </row>
    <row r="36" spans="3:15" x14ac:dyDescent="0.35">
      <c r="C36">
        <v>29</v>
      </c>
      <c r="G36">
        <f t="shared" si="2"/>
        <v>9</v>
      </c>
      <c r="M36" s="5" cm="1">
        <f t="array" ref="M36">qu_collector(C$3,C36,D$7,I$7,L$7,J$7)</f>
        <v>-273.32880452325065</v>
      </c>
    </row>
    <row r="37" spans="3:15" x14ac:dyDescent="0.35">
      <c r="C37">
        <v>30</v>
      </c>
      <c r="G37">
        <f t="shared" si="2"/>
        <v>10</v>
      </c>
      <c r="M37" s="5" cm="1">
        <f t="array" ref="M37">qu_collector(C$3,C37,D$7,I$7,L$7,J$7)</f>
        <v>-302.1303183612232</v>
      </c>
    </row>
    <row r="38" spans="3:15" x14ac:dyDescent="0.35">
      <c r="C38">
        <v>31</v>
      </c>
      <c r="G38">
        <f t="shared" si="2"/>
        <v>11</v>
      </c>
      <c r="M38" s="5" cm="1">
        <f t="array" ref="M38">qu_collector(C$3,C38,D$7,I$7,L$7,J$7)</f>
        <v>-330.61782450822864</v>
      </c>
      <c r="N38" s="92">
        <f>M38*C$6</f>
        <v>-14547.18427836206</v>
      </c>
    </row>
  </sheetData>
  <dataValidations count="1">
    <dataValidation type="list" allowBlank="1" showInputMessage="1" showErrorMessage="1" sqref="C3" xr:uid="{65205197-F448-4FBA-8902-3A053F8C6D2A}">
      <formula1>Koll_typ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FB495-4252-4D69-93BF-3588A5F38E7E}">
  <sheetPr codeName="Sheet6">
    <tabColor theme="9" tint="0.59999389629810485"/>
  </sheetPr>
  <dimension ref="A1:W75"/>
  <sheetViews>
    <sheetView zoomScaleNormal="100" workbookViewId="0">
      <selection activeCell="E18" sqref="E18"/>
    </sheetView>
  </sheetViews>
  <sheetFormatPr defaultColWidth="8.7265625" defaultRowHeight="14.5" x14ac:dyDescent="0.35"/>
  <cols>
    <col min="1" max="1" width="32.6328125" customWidth="1"/>
    <col min="4" max="4" width="7.6328125" customWidth="1"/>
    <col min="5" max="5" width="32.6328125" customWidth="1"/>
    <col min="6" max="6" width="10" bestFit="1" customWidth="1"/>
    <col min="8" max="8" width="8.90625" customWidth="1"/>
  </cols>
  <sheetData>
    <row r="1" spans="1:23" ht="18.5" x14ac:dyDescent="0.45">
      <c r="A1" s="7" t="s">
        <v>197</v>
      </c>
      <c r="B1" s="7"/>
      <c r="C1" s="22" t="s">
        <v>2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23" t="s">
        <v>198</v>
      </c>
      <c r="T1" s="23"/>
      <c r="U1" s="23"/>
      <c r="V1" s="23"/>
      <c r="W1" s="23"/>
    </row>
    <row r="2" spans="1:23" x14ac:dyDescent="0.35">
      <c r="A2" s="8" t="s">
        <v>199</v>
      </c>
      <c r="B2" s="9"/>
      <c r="C2" s="9"/>
      <c r="D2" s="4"/>
      <c r="E2" s="8"/>
      <c r="F2" s="9"/>
      <c r="G2" s="9"/>
      <c r="H2" s="4"/>
      <c r="I2" s="4"/>
      <c r="S2" s="4"/>
      <c r="T2" s="4" t="s">
        <v>200</v>
      </c>
      <c r="U2" s="4" t="s">
        <v>201</v>
      </c>
      <c r="V2" s="4" t="s">
        <v>202</v>
      </c>
      <c r="W2" s="4" t="s">
        <v>203</v>
      </c>
    </row>
    <row r="3" spans="1:23" x14ac:dyDescent="0.35">
      <c r="A3" s="4" t="s">
        <v>25</v>
      </c>
      <c r="B3" s="9" t="s">
        <v>204</v>
      </c>
      <c r="C3" s="9" t="s">
        <v>16</v>
      </c>
      <c r="D3">
        <v>18</v>
      </c>
      <c r="E3" s="4" t="s">
        <v>95</v>
      </c>
      <c r="F3" s="9" t="s">
        <v>205</v>
      </c>
      <c r="G3" s="9" t="s">
        <v>96</v>
      </c>
      <c r="H3" s="10">
        <f>D3*D4*D5</f>
        <v>432</v>
      </c>
      <c r="I3" s="4"/>
      <c r="S3" s="4"/>
      <c r="T3" s="4" t="s">
        <v>12</v>
      </c>
      <c r="U3" s="4" t="s">
        <v>13</v>
      </c>
      <c r="V3" s="4" t="s">
        <v>206</v>
      </c>
      <c r="W3" s="4" t="s">
        <v>15</v>
      </c>
    </row>
    <row r="4" spans="1:23" x14ac:dyDescent="0.35">
      <c r="A4" s="4" t="s">
        <v>29</v>
      </c>
      <c r="B4" s="9" t="s">
        <v>207</v>
      </c>
      <c r="C4" s="9" t="s">
        <v>16</v>
      </c>
      <c r="D4">
        <v>8</v>
      </c>
      <c r="E4" s="4" t="s">
        <v>208</v>
      </c>
      <c r="F4" s="9" t="s">
        <v>209</v>
      </c>
      <c r="G4" s="9" t="s">
        <v>33</v>
      </c>
      <c r="H4" s="32">
        <f>H3*H21*H22</f>
        <v>494113.66518529021</v>
      </c>
      <c r="I4" s="4"/>
      <c r="S4" s="4" t="s">
        <v>210</v>
      </c>
      <c r="T4">
        <v>0.3</v>
      </c>
      <c r="U4">
        <v>3</v>
      </c>
      <c r="V4">
        <f>W$4*T4/U4*1000</f>
        <v>10</v>
      </c>
      <c r="W4">
        <v>0.1</v>
      </c>
    </row>
    <row r="5" spans="1:23" x14ac:dyDescent="0.35">
      <c r="A5" s="4" t="s">
        <v>34</v>
      </c>
      <c r="B5" s="9" t="s">
        <v>211</v>
      </c>
      <c r="C5" s="9" t="s">
        <v>16</v>
      </c>
      <c r="D5">
        <v>3</v>
      </c>
      <c r="E5" s="4"/>
      <c r="F5" s="4"/>
      <c r="G5" s="4"/>
      <c r="H5" s="4"/>
      <c r="I5" s="4"/>
      <c r="S5" s="4" t="s">
        <v>212</v>
      </c>
      <c r="T5">
        <v>2.1</v>
      </c>
      <c r="U5">
        <v>3</v>
      </c>
      <c r="V5">
        <f t="shared" ref="V5:V6" si="0">W$4*T5/U5*1000</f>
        <v>70</v>
      </c>
    </row>
    <row r="6" spans="1:23" x14ac:dyDescent="0.35">
      <c r="A6" s="4" t="s">
        <v>414</v>
      </c>
      <c r="B6" s="9" t="s">
        <v>213</v>
      </c>
      <c r="C6" s="9" t="s">
        <v>33</v>
      </c>
      <c r="D6">
        <v>41</v>
      </c>
      <c r="E6" s="4" t="s">
        <v>214</v>
      </c>
      <c r="F6" s="9" t="s">
        <v>215</v>
      </c>
      <c r="G6" s="9" t="s">
        <v>216</v>
      </c>
      <c r="H6" s="32">
        <f>H4+H9+H15</f>
        <v>113294113.66518529</v>
      </c>
      <c r="I6" s="4"/>
      <c r="S6" s="4" t="s">
        <v>217</v>
      </c>
      <c r="T6">
        <v>0.15</v>
      </c>
      <c r="U6">
        <v>3</v>
      </c>
      <c r="V6">
        <f t="shared" si="0"/>
        <v>5</v>
      </c>
    </row>
    <row r="7" spans="1:23" x14ac:dyDescent="0.35">
      <c r="A7" s="8" t="s">
        <v>218</v>
      </c>
      <c r="B7" s="9"/>
      <c r="C7" s="9"/>
      <c r="D7" s="4"/>
      <c r="E7" s="8"/>
      <c r="F7" s="9"/>
      <c r="G7" s="9"/>
      <c r="H7" s="4"/>
      <c r="I7" s="4"/>
    </row>
    <row r="8" spans="1:23" x14ac:dyDescent="0.35">
      <c r="A8" s="4" t="s">
        <v>219</v>
      </c>
      <c r="B8" s="9" t="s">
        <v>220</v>
      </c>
      <c r="C8" s="9" t="s">
        <v>16</v>
      </c>
      <c r="D8">
        <v>0.25</v>
      </c>
      <c r="E8" s="4" t="s">
        <v>221</v>
      </c>
      <c r="F8" s="9" t="s">
        <v>222</v>
      </c>
      <c r="G8" s="9" t="s">
        <v>33</v>
      </c>
      <c r="H8" s="10">
        <f>D3*D4</f>
        <v>144</v>
      </c>
      <c r="I8" s="4"/>
    </row>
    <row r="9" spans="1:23" x14ac:dyDescent="0.35">
      <c r="A9" s="4" t="s">
        <v>223</v>
      </c>
      <c r="B9" s="9" t="s">
        <v>224</v>
      </c>
      <c r="C9" s="9" t="s">
        <v>55</v>
      </c>
      <c r="D9">
        <v>2400</v>
      </c>
      <c r="E9" s="4" t="s">
        <v>225</v>
      </c>
      <c r="F9" s="9" t="s">
        <v>226</v>
      </c>
      <c r="G9" s="9" t="s">
        <v>216</v>
      </c>
      <c r="H9" s="32">
        <f>H8*D8*D9*D10</f>
        <v>86400000</v>
      </c>
      <c r="I9" s="4"/>
    </row>
    <row r="10" spans="1:23" x14ac:dyDescent="0.35">
      <c r="A10" s="4" t="s">
        <v>227</v>
      </c>
      <c r="B10" s="9" t="s">
        <v>228</v>
      </c>
      <c r="C10" s="9" t="s">
        <v>61</v>
      </c>
      <c r="D10">
        <v>1000</v>
      </c>
      <c r="E10" s="4" t="s">
        <v>229</v>
      </c>
      <c r="F10" s="9" t="s">
        <v>230</v>
      </c>
      <c r="G10" s="9" t="s">
        <v>15</v>
      </c>
      <c r="H10">
        <v>20</v>
      </c>
      <c r="I10" s="4"/>
    </row>
    <row r="11" spans="1:23" x14ac:dyDescent="0.35">
      <c r="A11" s="4" t="s">
        <v>231</v>
      </c>
      <c r="B11" s="9" t="s">
        <v>232</v>
      </c>
      <c r="C11" s="9"/>
      <c r="D11">
        <v>2.5</v>
      </c>
      <c r="E11" s="4" t="s">
        <v>233</v>
      </c>
      <c r="F11" s="9" t="s">
        <v>234</v>
      </c>
      <c r="G11" s="9" t="s">
        <v>16</v>
      </c>
      <c r="H11" s="18">
        <f>H43*D11/E46</f>
        <v>0</v>
      </c>
      <c r="I11" s="4"/>
    </row>
    <row r="12" spans="1:23" x14ac:dyDescent="0.35">
      <c r="A12" s="4" t="s">
        <v>235</v>
      </c>
      <c r="B12" s="9" t="s">
        <v>236</v>
      </c>
      <c r="C12" s="9" t="s">
        <v>15</v>
      </c>
      <c r="D12">
        <v>0.93</v>
      </c>
      <c r="E12" s="4" t="s">
        <v>237</v>
      </c>
      <c r="F12" s="9" t="s">
        <v>238</v>
      </c>
      <c r="G12" s="9" t="s">
        <v>15</v>
      </c>
      <c r="H12" s="10" t="e">
        <f>ROUNDUP(D8/H11,0)</f>
        <v>#DIV/0!</v>
      </c>
      <c r="I12" s="4"/>
    </row>
    <row r="13" spans="1:23" x14ac:dyDescent="0.35">
      <c r="A13" s="8" t="s">
        <v>239</v>
      </c>
      <c r="B13" s="9"/>
      <c r="C13" s="9"/>
      <c r="D13" s="4"/>
      <c r="E13" s="4" t="s">
        <v>240</v>
      </c>
      <c r="F13" s="9" t="s">
        <v>241</v>
      </c>
      <c r="G13" s="9" t="s">
        <v>16</v>
      </c>
      <c r="H13" s="18">
        <f>D8/(2*H10-1)</f>
        <v>6.41025641025641E-3</v>
      </c>
      <c r="I13" s="4"/>
    </row>
    <row r="14" spans="1:23" x14ac:dyDescent="0.35">
      <c r="A14" s="4" t="s">
        <v>242</v>
      </c>
      <c r="B14" s="9" t="s">
        <v>243</v>
      </c>
      <c r="C14" s="9" t="s">
        <v>16</v>
      </c>
      <c r="D14">
        <v>0.04</v>
      </c>
      <c r="E14" s="4" t="s">
        <v>244</v>
      </c>
      <c r="F14" s="9" t="s">
        <v>245</v>
      </c>
      <c r="G14" s="9" t="s">
        <v>33</v>
      </c>
      <c r="H14" s="10">
        <f>2*(D3*D5+D4*D5)+D3*D4</f>
        <v>300</v>
      </c>
      <c r="I14" s="4"/>
    </row>
    <row r="15" spans="1:23" x14ac:dyDescent="0.35">
      <c r="A15" s="4" t="s">
        <v>246</v>
      </c>
      <c r="B15" s="9" t="s">
        <v>247</v>
      </c>
      <c r="C15" s="9" t="s">
        <v>55</v>
      </c>
      <c r="D15">
        <v>2200</v>
      </c>
      <c r="E15" s="4" t="s">
        <v>248</v>
      </c>
      <c r="F15" s="9" t="s">
        <v>226</v>
      </c>
      <c r="G15" s="9" t="s">
        <v>216</v>
      </c>
      <c r="H15" s="32">
        <f>H14*D14*D15*D16</f>
        <v>26400000</v>
      </c>
      <c r="I15" s="4"/>
    </row>
    <row r="16" spans="1:23" x14ac:dyDescent="0.35">
      <c r="A16" s="4" t="s">
        <v>249</v>
      </c>
      <c r="B16" s="9" t="s">
        <v>250</v>
      </c>
      <c r="C16" s="9" t="s">
        <v>61</v>
      </c>
      <c r="D16">
        <v>1000</v>
      </c>
      <c r="E16" s="4" t="s">
        <v>229</v>
      </c>
      <c r="F16" s="9" t="s">
        <v>230</v>
      </c>
      <c r="G16" s="9" t="s">
        <v>15</v>
      </c>
      <c r="H16">
        <v>10</v>
      </c>
      <c r="I16" s="4"/>
    </row>
    <row r="17" spans="1:9" x14ac:dyDescent="0.35">
      <c r="A17" s="4" t="s">
        <v>251</v>
      </c>
      <c r="B17" s="9" t="s">
        <v>232</v>
      </c>
      <c r="C17" s="9"/>
      <c r="D17">
        <v>1.5</v>
      </c>
      <c r="E17" s="4" t="s">
        <v>233</v>
      </c>
      <c r="F17" s="9" t="s">
        <v>234</v>
      </c>
      <c r="G17" s="9" t="s">
        <v>16</v>
      </c>
      <c r="H17" s="18">
        <f>H43*D17/E46</f>
        <v>0</v>
      </c>
      <c r="I17" s="4"/>
    </row>
    <row r="18" spans="1:9" x14ac:dyDescent="0.35">
      <c r="A18" s="4" t="s">
        <v>252</v>
      </c>
      <c r="B18" s="9" t="s">
        <v>253</v>
      </c>
      <c r="C18" s="9" t="s">
        <v>15</v>
      </c>
      <c r="D18">
        <v>0.93</v>
      </c>
      <c r="E18" s="4" t="s">
        <v>237</v>
      </c>
      <c r="F18" s="9" t="s">
        <v>238</v>
      </c>
      <c r="G18" s="9" t="s">
        <v>15</v>
      </c>
      <c r="H18" s="10" t="e">
        <f>ROUNDUP(D14/H17,0)</f>
        <v>#DIV/0!</v>
      </c>
      <c r="I18" s="4"/>
    </row>
    <row r="19" spans="1:9" ht="15" thickBot="1" x14ac:dyDescent="0.4">
      <c r="A19" s="8" t="s">
        <v>254</v>
      </c>
      <c r="B19" s="9"/>
      <c r="C19" s="9"/>
      <c r="D19" s="4"/>
      <c r="E19" s="4"/>
      <c r="F19" s="9"/>
      <c r="G19" s="9"/>
      <c r="H19" s="4"/>
      <c r="I19" s="4"/>
    </row>
    <row r="20" spans="1:9" ht="15" thickBot="1" x14ac:dyDescent="0.4">
      <c r="A20" s="4" t="s">
        <v>255</v>
      </c>
      <c r="B20" s="9" t="s">
        <v>256</v>
      </c>
      <c r="C20" s="9" t="s">
        <v>17</v>
      </c>
      <c r="D20" s="91">
        <v>26</v>
      </c>
      <c r="E20" s="4" t="s">
        <v>257</v>
      </c>
      <c r="F20" s="9" t="s">
        <v>258</v>
      </c>
      <c r="G20" s="9"/>
      <c r="H20" s="12" cm="1">
        <f t="array" ref="H20">Taupunkt(D20,D21)</f>
        <v>17.574864439316652</v>
      </c>
      <c r="I20" s="4"/>
    </row>
    <row r="21" spans="1:9" x14ac:dyDescent="0.35">
      <c r="A21" s="4" t="s">
        <v>259</v>
      </c>
      <c r="B21" s="9" t="s">
        <v>260</v>
      </c>
      <c r="C21" s="9" t="s">
        <v>15</v>
      </c>
      <c r="D21">
        <v>0.6</v>
      </c>
      <c r="E21" s="4" t="s">
        <v>223</v>
      </c>
      <c r="F21" s="9" t="s">
        <v>261</v>
      </c>
      <c r="G21" s="9"/>
      <c r="H21" s="12" cm="1">
        <f t="array" ref="H21">rho_Luft_phi(D20,D21,D23)</f>
        <v>1.1092336354723971</v>
      </c>
      <c r="I21" s="4"/>
    </row>
    <row r="22" spans="1:9" x14ac:dyDescent="0.35">
      <c r="A22" s="4" t="s">
        <v>262</v>
      </c>
      <c r="B22" s="9" t="s">
        <v>263</v>
      </c>
      <c r="C22" s="9" t="s">
        <v>16</v>
      </c>
      <c r="D22" s="14">
        <v>450</v>
      </c>
      <c r="E22" s="4" t="s">
        <v>227</v>
      </c>
      <c r="F22" s="9" t="s">
        <v>264</v>
      </c>
      <c r="G22" s="9"/>
      <c r="H22" s="16" cm="1">
        <f t="array" ref="H22">cp_Luft_phi(D20,D21,D23)</f>
        <v>1031.145825186095</v>
      </c>
      <c r="I22" s="9" t="s">
        <v>265</v>
      </c>
    </row>
    <row r="23" spans="1:9" x14ac:dyDescent="0.35">
      <c r="A23" s="4" t="s">
        <v>266</v>
      </c>
      <c r="B23" s="9" t="s">
        <v>267</v>
      </c>
      <c r="C23" s="9" t="s">
        <v>268</v>
      </c>
      <c r="D23" s="15" cm="1">
        <f t="array" ref="D23">Int_Hoehenformel(D22)</f>
        <v>96027.476456163902</v>
      </c>
      <c r="E23" s="4"/>
      <c r="F23" s="4"/>
      <c r="G23" s="4"/>
      <c r="H23" s="4"/>
      <c r="I23" s="9" t="s">
        <v>269</v>
      </c>
    </row>
    <row r="24" spans="1:9" x14ac:dyDescent="0.35">
      <c r="A24" s="82" t="s">
        <v>270</v>
      </c>
      <c r="B24" s="83" t="s">
        <v>277</v>
      </c>
      <c r="C24" s="83" t="s">
        <v>33</v>
      </c>
      <c r="D24" s="84">
        <v>60</v>
      </c>
      <c r="E24" s="25" t="s">
        <v>272</v>
      </c>
      <c r="F24" s="83" t="s">
        <v>411</v>
      </c>
      <c r="G24" s="25" t="s">
        <v>15</v>
      </c>
      <c r="H24">
        <v>1</v>
      </c>
      <c r="I24" s="75">
        <f>D24/H8</f>
        <v>0.41666666666666669</v>
      </c>
    </row>
    <row r="25" spans="1:9" x14ac:dyDescent="0.35">
      <c r="A25" s="8" t="s">
        <v>273</v>
      </c>
      <c r="B25" s="9"/>
      <c r="C25" s="9"/>
      <c r="D25" s="9"/>
      <c r="E25" s="8"/>
      <c r="F25" s="9"/>
      <c r="G25" s="9"/>
      <c r="H25" s="4"/>
      <c r="I25" s="9"/>
    </row>
    <row r="26" spans="1:9" x14ac:dyDescent="0.35">
      <c r="A26" s="4" t="s">
        <v>274</v>
      </c>
      <c r="B26" s="9" t="s">
        <v>275</v>
      </c>
      <c r="C26" s="9" t="s">
        <v>33</v>
      </c>
      <c r="D26" s="12">
        <f>'Konvektion+Strahlung'!C5</f>
        <v>2.045725</v>
      </c>
      <c r="E26" s="4" t="s">
        <v>276</v>
      </c>
      <c r="F26" s="9" t="s">
        <v>412</v>
      </c>
      <c r="G26" s="9" t="s">
        <v>33</v>
      </c>
      <c r="H26" s="79">
        <f>D26*D27</f>
        <v>100.24052500000001</v>
      </c>
      <c r="I26" s="75">
        <f>H26/H8</f>
        <v>0.69611475694444447</v>
      </c>
    </row>
    <row r="27" spans="1:9" ht="15" thickBot="1" x14ac:dyDescent="0.4">
      <c r="A27" s="4" t="s">
        <v>194</v>
      </c>
      <c r="B27" s="9" t="s">
        <v>278</v>
      </c>
      <c r="C27" s="9" t="s">
        <v>15</v>
      </c>
      <c r="D27" s="81">
        <v>49</v>
      </c>
      <c r="E27" s="4"/>
      <c r="F27" s="9"/>
      <c r="G27" s="9"/>
      <c r="H27" s="4"/>
      <c r="I27" s="4"/>
    </row>
    <row r="28" spans="1:9" ht="15" thickBot="1" x14ac:dyDescent="0.4">
      <c r="A28" s="4" t="s">
        <v>279</v>
      </c>
      <c r="B28" s="9" t="s">
        <v>280</v>
      </c>
      <c r="C28" s="9" t="s">
        <v>144</v>
      </c>
      <c r="D28" s="85">
        <v>0.1</v>
      </c>
      <c r="E28" s="4"/>
      <c r="F28" s="9"/>
      <c r="G28" s="9"/>
      <c r="H28" s="4"/>
      <c r="I28" s="4"/>
    </row>
    <row r="29" spans="1:9" x14ac:dyDescent="0.35">
      <c r="A29" s="4"/>
      <c r="B29" s="9"/>
      <c r="C29" s="9"/>
      <c r="D29" s="4"/>
      <c r="E29" s="4" t="s">
        <v>281</v>
      </c>
      <c r="F29" s="9" t="s">
        <v>282</v>
      </c>
      <c r="G29" s="9" t="s">
        <v>283</v>
      </c>
      <c r="H29" s="16" cm="1">
        <f t="array" ref="H29">Leistungsdichte_Potenzfunktion(D31,D32,D20,D38)*H26</f>
        <v>6671.7785792758305</v>
      </c>
      <c r="I29" s="4"/>
    </row>
    <row r="30" spans="1:9" x14ac:dyDescent="0.35">
      <c r="A30" s="13" t="s">
        <v>284</v>
      </c>
      <c r="B30" s="9"/>
      <c r="C30" s="9"/>
      <c r="D30" s="4"/>
      <c r="E30" s="13" t="s">
        <v>285</v>
      </c>
      <c r="F30" s="9"/>
      <c r="G30" s="9"/>
      <c r="H30" s="4"/>
      <c r="I30" s="4"/>
    </row>
    <row r="31" spans="1:9" ht="16.5" x14ac:dyDescent="0.35">
      <c r="A31" s="4" t="s">
        <v>286</v>
      </c>
      <c r="B31" s="9" t="s">
        <v>126</v>
      </c>
      <c r="C31" s="9" t="s">
        <v>287</v>
      </c>
      <c r="D31" s="18">
        <f>'Konvektion+Strahlung'!K9</f>
        <v>10.424897458235776</v>
      </c>
      <c r="E31" s="4" t="s">
        <v>286</v>
      </c>
      <c r="F31" s="9" t="s">
        <v>288</v>
      </c>
      <c r="G31" s="9" t="s">
        <v>287</v>
      </c>
      <c r="H31" s="18">
        <f>'Konvektion+Strahlung'!K29</f>
        <v>4.4114188401897065</v>
      </c>
      <c r="I31" s="4"/>
    </row>
    <row r="32" spans="1:9" x14ac:dyDescent="0.35">
      <c r="A32" s="4" t="s">
        <v>289</v>
      </c>
      <c r="B32" s="9" t="s">
        <v>127</v>
      </c>
      <c r="C32" s="9" t="s">
        <v>15</v>
      </c>
      <c r="D32" s="18">
        <f>'Konvektion+Strahlung'!L9</f>
        <v>1.0346658183014497</v>
      </c>
      <c r="E32" s="4" t="s">
        <v>289</v>
      </c>
      <c r="F32" s="9" t="s">
        <v>290</v>
      </c>
      <c r="G32" s="9" t="s">
        <v>15</v>
      </c>
      <c r="H32" s="18">
        <f>'Konvektion+Strahlung'!L29</f>
        <v>0.97744347377355356</v>
      </c>
      <c r="I32" s="4"/>
    </row>
    <row r="33" spans="1:23" x14ac:dyDescent="0.35">
      <c r="A33" s="13" t="s">
        <v>291</v>
      </c>
      <c r="B33" s="9"/>
      <c r="C33" s="9"/>
      <c r="D33" s="4"/>
      <c r="E33" s="13" t="s">
        <v>292</v>
      </c>
      <c r="F33" s="9"/>
      <c r="G33" s="9"/>
      <c r="H33" s="41"/>
      <c r="I33" s="4"/>
    </row>
    <row r="34" spans="1:23" ht="16.5" x14ac:dyDescent="0.35">
      <c r="A34" s="4" t="s">
        <v>286</v>
      </c>
      <c r="B34" s="9" t="s">
        <v>293</v>
      </c>
      <c r="C34" s="9" t="s">
        <v>287</v>
      </c>
      <c r="D34" s="18">
        <f>'Konvektion+Strahlung'!K49</f>
        <v>1.1733124414218492</v>
      </c>
      <c r="E34" s="4" t="s">
        <v>286</v>
      </c>
      <c r="F34" s="9" t="s">
        <v>294</v>
      </c>
      <c r="G34" s="9" t="s">
        <v>287</v>
      </c>
      <c r="H34" s="18">
        <f>'Konvektion+Strahlung'!K30</f>
        <v>4.894703778183584</v>
      </c>
      <c r="I34" s="4"/>
    </row>
    <row r="35" spans="1:23" x14ac:dyDescent="0.35">
      <c r="A35" s="4" t="s">
        <v>289</v>
      </c>
      <c r="B35" s="9" t="s">
        <v>295</v>
      </c>
      <c r="C35" s="9" t="s">
        <v>15</v>
      </c>
      <c r="D35" s="18">
        <f>'Konvektion+Strahlung'!L49</f>
        <v>1.339972245738388</v>
      </c>
      <c r="E35" s="4" t="s">
        <v>289</v>
      </c>
      <c r="F35" s="9" t="s">
        <v>296</v>
      </c>
      <c r="G35" s="9" t="s">
        <v>15</v>
      </c>
      <c r="H35" s="18">
        <f>'Konvektion+Strahlung'!L30</f>
        <v>0.97744347377355345</v>
      </c>
      <c r="I35" s="4"/>
    </row>
    <row r="36" spans="1:23" x14ac:dyDescent="0.35">
      <c r="A36" s="4"/>
      <c r="B36" s="9"/>
      <c r="C36" s="9"/>
      <c r="D36" s="9"/>
      <c r="E36" s="4"/>
      <c r="F36" s="9"/>
      <c r="G36" s="9"/>
      <c r="H36" s="9"/>
      <c r="I36" s="4"/>
    </row>
    <row r="37" spans="1:23" x14ac:dyDescent="0.35">
      <c r="A37" s="8" t="s">
        <v>62</v>
      </c>
      <c r="B37" s="102" t="s">
        <v>432</v>
      </c>
      <c r="C37" s="101"/>
      <c r="D37" s="101"/>
      <c r="E37" s="4" t="s">
        <v>297</v>
      </c>
      <c r="F37" s="9" t="s">
        <v>298</v>
      </c>
      <c r="G37" s="9" t="s">
        <v>299</v>
      </c>
      <c r="H37" s="9"/>
      <c r="I37" s="4"/>
    </row>
    <row r="38" spans="1:23" x14ac:dyDescent="0.35">
      <c r="A38" s="4" t="s">
        <v>125</v>
      </c>
      <c r="B38" s="9" t="s">
        <v>300</v>
      </c>
      <c r="C38" s="9" t="s">
        <v>17</v>
      </c>
      <c r="D38">
        <v>20</v>
      </c>
      <c r="E38" s="4" t="s">
        <v>301</v>
      </c>
      <c r="F38" s="15">
        <v>-85126.833568540285</v>
      </c>
      <c r="G38" s="17">
        <f>-F38/3600</f>
        <v>23.646342657927857</v>
      </c>
      <c r="H38" s="9"/>
      <c r="I38" s="4"/>
    </row>
    <row r="39" spans="1:23" x14ac:dyDescent="0.35">
      <c r="A39" s="4" t="s">
        <v>302</v>
      </c>
      <c r="B39" s="9"/>
      <c r="C39" s="9" t="s">
        <v>195</v>
      </c>
      <c r="D39">
        <v>22</v>
      </c>
      <c r="E39" s="4" t="s">
        <v>303</v>
      </c>
      <c r="F39" s="15">
        <v>-81116.253383987147</v>
      </c>
      <c r="G39" s="17">
        <f t="shared" ref="G39:G41" si="1">-F39/3600</f>
        <v>22.532292606663095</v>
      </c>
      <c r="H39" s="9" t="s">
        <v>304</v>
      </c>
      <c r="I39" s="9"/>
    </row>
    <row r="40" spans="1:23" x14ac:dyDescent="0.35">
      <c r="A40" s="4" t="s">
        <v>305</v>
      </c>
      <c r="B40" s="9"/>
      <c r="C40" s="9" t="s">
        <v>195</v>
      </c>
      <c r="D40">
        <v>9</v>
      </c>
      <c r="E40" s="4" t="s">
        <v>254</v>
      </c>
      <c r="F40" s="15">
        <v>-1489.6882750635891</v>
      </c>
      <c r="G40" s="17">
        <f t="shared" si="1"/>
        <v>0.41380229862877477</v>
      </c>
      <c r="H40" s="9" t="s">
        <v>306</v>
      </c>
      <c r="I40" s="9"/>
      <c r="T40" t="s">
        <v>415</v>
      </c>
      <c r="V40" s="6" t="s">
        <v>299</v>
      </c>
      <c r="W40" t="s">
        <v>420</v>
      </c>
    </row>
    <row r="41" spans="1:23" x14ac:dyDescent="0.35">
      <c r="A41" s="4" t="s">
        <v>413</v>
      </c>
      <c r="B41" s="9"/>
      <c r="C41" s="9" t="s">
        <v>195</v>
      </c>
      <c r="D41">
        <v>0</v>
      </c>
      <c r="E41" s="4" t="s">
        <v>307</v>
      </c>
      <c r="F41" s="3">
        <f>SUM(F38:F40)</f>
        <v>-167732.77522759102</v>
      </c>
      <c r="G41" s="76">
        <f t="shared" si="1"/>
        <v>46.592437563219725</v>
      </c>
      <c r="H41" s="75">
        <f>G41/G42</f>
        <v>1.0974313950056347</v>
      </c>
      <c r="I41" s="4"/>
      <c r="T41" t="s">
        <v>416</v>
      </c>
      <c r="V41">
        <v>30.211127134059598</v>
      </c>
    </row>
    <row r="42" spans="1:23" x14ac:dyDescent="0.35">
      <c r="A42" s="8" t="s">
        <v>308</v>
      </c>
      <c r="B42" s="4"/>
      <c r="C42" s="4"/>
      <c r="D42" s="4"/>
      <c r="E42" s="19" t="s">
        <v>309</v>
      </c>
      <c r="F42" s="16">
        <f>-G42*3600</f>
        <v>-152841.24</v>
      </c>
      <c r="G42" s="5">
        <f>C52</f>
        <v>42.4559</v>
      </c>
      <c r="H42" s="9" t="s">
        <v>310</v>
      </c>
      <c r="I42" s="4"/>
      <c r="T42" t="s">
        <v>417</v>
      </c>
      <c r="V42">
        <v>35.736840355979282</v>
      </c>
    </row>
    <row r="43" spans="1:23" x14ac:dyDescent="0.35">
      <c r="A43" s="4" t="s">
        <v>311</v>
      </c>
      <c r="B43" s="101" t="s">
        <v>312</v>
      </c>
      <c r="C43" s="101"/>
      <c r="D43" s="101"/>
      <c r="E43" s="9"/>
      <c r="F43" s="4" t="s">
        <v>431</v>
      </c>
      <c r="G43" s="9"/>
      <c r="H43" s="4"/>
      <c r="I43" s="4"/>
      <c r="T43" t="s">
        <v>418</v>
      </c>
      <c r="V43">
        <v>37.444198394136237</v>
      </c>
    </row>
    <row r="44" spans="1:23" x14ac:dyDescent="0.35">
      <c r="A44" s="4" t="s">
        <v>313</v>
      </c>
      <c r="B44" s="4" t="s">
        <v>314</v>
      </c>
      <c r="C44" s="4" t="s">
        <v>315</v>
      </c>
      <c r="D44">
        <v>2</v>
      </c>
      <c r="E44" s="4"/>
      <c r="F44" s="88" t="s">
        <v>316</v>
      </c>
      <c r="G44" s="4" t="s">
        <v>132</v>
      </c>
      <c r="H44">
        <v>2</v>
      </c>
      <c r="I44" s="4"/>
      <c r="T44" t="s">
        <v>419</v>
      </c>
      <c r="V44">
        <v>45.80861692650943</v>
      </c>
    </row>
    <row r="45" spans="1:23" x14ac:dyDescent="0.35">
      <c r="A45" s="4" t="s">
        <v>317</v>
      </c>
      <c r="B45" s="101" t="s">
        <v>318</v>
      </c>
      <c r="C45" s="101"/>
      <c r="D45" s="101"/>
      <c r="E45" s="4"/>
      <c r="F45" s="4"/>
      <c r="G45" s="4"/>
      <c r="H45" s="4"/>
      <c r="I45" s="4"/>
      <c r="T45" t="s">
        <v>309</v>
      </c>
      <c r="V45" s="5">
        <f>G42</f>
        <v>42.4559</v>
      </c>
    </row>
    <row r="46" spans="1:23" x14ac:dyDescent="0.35">
      <c r="A46" s="4" t="s">
        <v>319</v>
      </c>
      <c r="B46" s="101" t="s">
        <v>320</v>
      </c>
      <c r="C46" s="101"/>
      <c r="D46" s="101"/>
      <c r="E46" s="6">
        <v>3</v>
      </c>
      <c r="F46" s="4"/>
      <c r="G46" s="4"/>
      <c r="H46" s="4"/>
      <c r="I46" s="4"/>
    </row>
    <row r="47" spans="1:23" x14ac:dyDescent="0.35">
      <c r="A47" s="4" t="s">
        <v>321</v>
      </c>
      <c r="B47" s="101" t="s">
        <v>320</v>
      </c>
      <c r="C47" s="101"/>
      <c r="D47" s="101"/>
      <c r="E47" s="6">
        <v>3</v>
      </c>
      <c r="F47" s="4"/>
      <c r="G47" s="4"/>
      <c r="H47" s="4"/>
      <c r="I47" s="4"/>
    </row>
    <row r="48" spans="1:23" x14ac:dyDescent="0.35">
      <c r="A48" s="4"/>
      <c r="B48" s="4"/>
      <c r="C48" s="4"/>
      <c r="D48" s="4"/>
      <c r="E48" s="4"/>
      <c r="F48" s="4"/>
      <c r="G48" s="4"/>
      <c r="H48" s="4"/>
      <c r="I48" s="4"/>
    </row>
    <row r="49" spans="1:23" x14ac:dyDescent="0.35">
      <c r="A49" s="8" t="s">
        <v>322</v>
      </c>
      <c r="B49" s="4"/>
      <c r="C49" s="4" t="s">
        <v>323</v>
      </c>
      <c r="D49" s="4"/>
      <c r="E49" s="4"/>
      <c r="F49" s="4"/>
      <c r="G49" s="4"/>
      <c r="H49" s="4"/>
      <c r="I49" s="4"/>
    </row>
    <row r="50" spans="1:23" x14ac:dyDescent="0.35">
      <c r="A50" s="4" t="s">
        <v>324</v>
      </c>
      <c r="B50" s="4" t="s">
        <v>33</v>
      </c>
      <c r="C50" s="10">
        <f>D3*D4</f>
        <v>144</v>
      </c>
      <c r="D50" s="4"/>
      <c r="E50" s="4"/>
      <c r="F50" s="4"/>
      <c r="G50" s="4"/>
      <c r="H50" s="4"/>
      <c r="I50" s="4"/>
    </row>
    <row r="51" spans="1:23" x14ac:dyDescent="0.35">
      <c r="A51" s="4" t="s">
        <v>325</v>
      </c>
      <c r="B51" s="4"/>
      <c r="C51">
        <v>2268</v>
      </c>
      <c r="D51" s="4"/>
      <c r="E51" s="4"/>
      <c r="F51" s="4"/>
      <c r="G51" s="4"/>
      <c r="H51" s="4"/>
      <c r="I51" s="4"/>
    </row>
    <row r="52" spans="1:23" x14ac:dyDescent="0.35">
      <c r="A52" s="4" t="s">
        <v>326</v>
      </c>
      <c r="B52" s="4" t="s">
        <v>299</v>
      </c>
      <c r="C52" s="12">
        <v>42.4559</v>
      </c>
      <c r="D52" s="4"/>
      <c r="E52" s="4" t="s">
        <v>327</v>
      </c>
      <c r="F52" s="4" t="s">
        <v>283</v>
      </c>
      <c r="G52" s="16">
        <f>C52*1000/D40</f>
        <v>4717.3222222222221</v>
      </c>
      <c r="H52" s="4"/>
      <c r="I52" s="4"/>
    </row>
    <row r="53" spans="1:23" x14ac:dyDescent="0.35">
      <c r="A53" s="4" t="s">
        <v>328</v>
      </c>
      <c r="B53" s="4" t="s">
        <v>299</v>
      </c>
      <c r="C53" s="12">
        <f>C52*C51/C50</f>
        <v>668.68042500000001</v>
      </c>
      <c r="D53" s="4"/>
      <c r="E53" s="4"/>
      <c r="F53" s="4" t="s">
        <v>283</v>
      </c>
      <c r="G53" s="16" t="e">
        <f>C53*1000/D41</f>
        <v>#DIV/0!</v>
      </c>
      <c r="H53" s="4"/>
      <c r="I53" s="4"/>
    </row>
    <row r="54" spans="1:23" x14ac:dyDescent="0.35">
      <c r="A54" s="8" t="s">
        <v>329</v>
      </c>
      <c r="B54" s="4"/>
      <c r="C54" s="4"/>
      <c r="D54" s="4"/>
      <c r="E54" s="4"/>
      <c r="F54" s="4"/>
      <c r="G54" s="4"/>
      <c r="H54" s="4"/>
      <c r="I54" s="4"/>
    </row>
    <row r="55" spans="1:23" x14ac:dyDescent="0.35">
      <c r="A55" s="8"/>
      <c r="B55" s="4"/>
      <c r="C55" s="4" t="s">
        <v>330</v>
      </c>
      <c r="D55" s="4" t="s">
        <v>331</v>
      </c>
      <c r="E55" s="4"/>
      <c r="F55" s="4"/>
      <c r="G55" s="4"/>
      <c r="H55" s="4"/>
      <c r="I55" s="4"/>
      <c r="T55" t="s">
        <v>415</v>
      </c>
      <c r="V55" s="6" t="s">
        <v>299</v>
      </c>
      <c r="W55" t="s">
        <v>421</v>
      </c>
    </row>
    <row r="56" spans="1:23" x14ac:dyDescent="0.35">
      <c r="A56" s="4" t="s">
        <v>227</v>
      </c>
      <c r="B56" s="4" t="s">
        <v>61</v>
      </c>
      <c r="C56">
        <v>4180</v>
      </c>
      <c r="D56" s="4"/>
      <c r="E56" s="4"/>
      <c r="F56" s="4"/>
      <c r="G56" s="4"/>
      <c r="H56" s="4"/>
      <c r="I56" s="4"/>
      <c r="T56" t="s">
        <v>422</v>
      </c>
      <c r="V56">
        <v>35.736840355979282</v>
      </c>
    </row>
    <row r="57" spans="1:23" x14ac:dyDescent="0.35">
      <c r="A57" s="4" t="s">
        <v>223</v>
      </c>
      <c r="B57" s="4" t="s">
        <v>55</v>
      </c>
      <c r="C57">
        <v>1000</v>
      </c>
      <c r="D57" s="4"/>
      <c r="E57" s="4"/>
      <c r="F57" s="4"/>
      <c r="G57" s="4"/>
      <c r="H57" s="4"/>
      <c r="I57" s="4"/>
      <c r="T57" t="s">
        <v>423</v>
      </c>
      <c r="V57">
        <v>27.683224603217763</v>
      </c>
    </row>
    <row r="58" spans="1:23" x14ac:dyDescent="0.35">
      <c r="A58" s="4" t="s">
        <v>332</v>
      </c>
      <c r="B58" s="4" t="s">
        <v>132</v>
      </c>
      <c r="C58">
        <v>5</v>
      </c>
      <c r="D58">
        <v>5</v>
      </c>
      <c r="E58" s="4"/>
      <c r="F58" s="4"/>
      <c r="G58" s="4"/>
      <c r="H58" s="4"/>
      <c r="I58" s="4"/>
      <c r="T58" t="s">
        <v>425</v>
      </c>
      <c r="V58">
        <v>34.277099915735043</v>
      </c>
    </row>
    <row r="59" spans="1:23" x14ac:dyDescent="0.35">
      <c r="A59" s="4" t="s">
        <v>227</v>
      </c>
      <c r="B59" s="4" t="s">
        <v>333</v>
      </c>
      <c r="C59" s="4"/>
      <c r="D59">
        <v>2800</v>
      </c>
      <c r="E59" s="4"/>
      <c r="F59" s="4"/>
      <c r="G59" s="4"/>
      <c r="H59" s="4"/>
      <c r="I59" s="4"/>
      <c r="T59" t="s">
        <v>424</v>
      </c>
      <c r="V59">
        <v>41.699772686575614</v>
      </c>
    </row>
    <row r="60" spans="1:23" x14ac:dyDescent="0.35">
      <c r="A60" s="4" t="s">
        <v>334</v>
      </c>
      <c r="B60" s="4" t="s">
        <v>96</v>
      </c>
      <c r="C60" s="16">
        <f>C53*1000*3600/(C56*C57*C58)</f>
        <v>115.1794033492823</v>
      </c>
      <c r="D60" s="16">
        <f>C53*3600/(D58*D59)</f>
        <v>171.94639500000002</v>
      </c>
      <c r="E60" s="4" t="s">
        <v>25</v>
      </c>
      <c r="F60" s="4" t="s">
        <v>16</v>
      </c>
      <c r="G60">
        <v>16</v>
      </c>
      <c r="H60" s="4"/>
      <c r="I60" s="4"/>
      <c r="T60" t="s">
        <v>309</v>
      </c>
      <c r="V60" s="5">
        <f>V45</f>
        <v>42.4559</v>
      </c>
    </row>
    <row r="61" spans="1:23" x14ac:dyDescent="0.35">
      <c r="A61" s="4" t="s">
        <v>335</v>
      </c>
      <c r="B61" s="4"/>
      <c r="C61" s="79">
        <v>4</v>
      </c>
      <c r="D61" s="20"/>
      <c r="E61" s="4" t="s">
        <v>336</v>
      </c>
      <c r="F61" s="4" t="s">
        <v>16</v>
      </c>
      <c r="G61">
        <v>2</v>
      </c>
      <c r="H61" s="4"/>
      <c r="I61" s="4"/>
    </row>
    <row r="62" spans="1:23" x14ac:dyDescent="0.35">
      <c r="A62" s="4" t="s">
        <v>34</v>
      </c>
      <c r="B62" s="4"/>
      <c r="C62" s="79">
        <f>C60/(C61^2*3.1415/4)</f>
        <v>9.165956020156159</v>
      </c>
      <c r="D62" s="4"/>
      <c r="E62" s="4" t="s">
        <v>29</v>
      </c>
      <c r="F62" s="4" t="s">
        <v>16</v>
      </c>
      <c r="G62" s="79">
        <f>D60/(G60*G61)</f>
        <v>5.3733248437500007</v>
      </c>
      <c r="H62" s="4"/>
      <c r="I62" s="4"/>
    </row>
    <row r="63" spans="1:23" x14ac:dyDescent="0.35">
      <c r="A63" s="4" t="s">
        <v>337</v>
      </c>
      <c r="B63" s="4"/>
      <c r="C63" s="4" t="s">
        <v>323</v>
      </c>
      <c r="D63" s="4" t="s">
        <v>338</v>
      </c>
      <c r="E63" s="4"/>
      <c r="F63" s="4"/>
      <c r="G63" s="4"/>
      <c r="H63" s="4"/>
      <c r="I63" s="4"/>
    </row>
    <row r="64" spans="1:23" x14ac:dyDescent="0.35">
      <c r="A64" s="4" t="s">
        <v>339</v>
      </c>
      <c r="B64" s="4" t="s">
        <v>33</v>
      </c>
      <c r="C64" s="10">
        <f>C50</f>
        <v>144</v>
      </c>
      <c r="D64" s="10">
        <v>2400</v>
      </c>
      <c r="E64" s="4"/>
      <c r="F64" s="4"/>
      <c r="G64" s="4"/>
      <c r="H64" s="4"/>
      <c r="I64" s="4"/>
    </row>
    <row r="65" spans="1:14" x14ac:dyDescent="0.35">
      <c r="A65" s="4" t="s">
        <v>340</v>
      </c>
      <c r="B65" s="4" t="s">
        <v>299</v>
      </c>
      <c r="C65" s="12">
        <f>C52</f>
        <v>42.4559</v>
      </c>
      <c r="D65" s="12">
        <v>593.95899999999995</v>
      </c>
      <c r="E65" s="4"/>
      <c r="F65" s="4"/>
      <c r="G65" s="4"/>
      <c r="H65" s="4"/>
      <c r="I65" s="4"/>
    </row>
    <row r="66" spans="1:14" x14ac:dyDescent="0.35">
      <c r="A66" s="80" t="s">
        <v>341</v>
      </c>
      <c r="B66" s="4" t="s">
        <v>96</v>
      </c>
      <c r="C66" s="12">
        <f>C$52*1000*3600/($C$56*$C$57*5)</f>
        <v>7.312977990430622</v>
      </c>
      <c r="D66" s="12">
        <f>C$53*1000*3600/($C$56*$C$57*5)</f>
        <v>115.1794033492823</v>
      </c>
      <c r="E66" s="4"/>
      <c r="F66" s="4"/>
      <c r="G66" s="4"/>
      <c r="H66" s="4"/>
      <c r="I66" s="4"/>
    </row>
    <row r="67" spans="1:14" x14ac:dyDescent="0.35">
      <c r="A67" s="80" t="s">
        <v>342</v>
      </c>
      <c r="B67" s="4" t="s">
        <v>96</v>
      </c>
      <c r="C67" s="12">
        <f>C$52*3600/(D$59*5)</f>
        <v>10.917231428571428</v>
      </c>
      <c r="D67" s="12">
        <f>C$53*3600/(D$59*5)</f>
        <v>171.94639500000002</v>
      </c>
      <c r="E67" s="4"/>
      <c r="F67" s="4"/>
      <c r="G67" s="4"/>
      <c r="H67" s="4"/>
      <c r="I67" s="4"/>
    </row>
    <row r="68" spans="1:14" x14ac:dyDescent="0.35">
      <c r="A68" s="80" t="s">
        <v>343</v>
      </c>
      <c r="B68" s="4" t="s">
        <v>96</v>
      </c>
      <c r="C68" s="12">
        <f>C$52*1000*3600/($C$56*$C$57*10)</f>
        <v>3.656488995215311</v>
      </c>
      <c r="D68" s="12">
        <f>C$53*1000*3600/($C$56*$C$57*10)</f>
        <v>57.589701674641148</v>
      </c>
      <c r="E68" s="4"/>
      <c r="F68" s="4"/>
      <c r="G68" s="4"/>
      <c r="H68" s="4"/>
      <c r="I68" s="4"/>
    </row>
    <row r="69" spans="1:14" x14ac:dyDescent="0.35">
      <c r="A69" s="80" t="s">
        <v>344</v>
      </c>
      <c r="B69" s="4" t="s">
        <v>96</v>
      </c>
      <c r="C69" s="12">
        <f>C$52*3600/(D$59*10)</f>
        <v>5.4586157142857141</v>
      </c>
      <c r="D69" s="12">
        <f>C$53*3600/(D$59*10)</f>
        <v>85.973197500000012</v>
      </c>
      <c r="E69" s="4"/>
      <c r="F69" s="4"/>
      <c r="G69" s="4"/>
      <c r="H69" s="4"/>
      <c r="I69" s="4"/>
    </row>
    <row r="70" spans="1:14" x14ac:dyDescent="0.35">
      <c r="A70" s="4"/>
      <c r="B70" s="4"/>
      <c r="C70" s="4"/>
      <c r="D70" s="4"/>
      <c r="E70" s="4"/>
      <c r="F70" s="4"/>
      <c r="G70" s="4"/>
      <c r="H70" s="4"/>
      <c r="I70" s="4"/>
    </row>
    <row r="75" spans="1:14" x14ac:dyDescent="0.35">
      <c r="N75" s="81"/>
    </row>
  </sheetData>
  <mergeCells count="5">
    <mergeCell ref="B47:D47"/>
    <mergeCell ref="B43:D43"/>
    <mergeCell ref="B46:D46"/>
    <mergeCell ref="B37:D37"/>
    <mergeCell ref="B45:D45"/>
  </mergeCells>
  <dataValidations count="4">
    <dataValidation type="list" allowBlank="1" showInputMessage="1" showErrorMessage="1" sqref="B43:D43" xr:uid="{329BFA8F-36DD-4355-9935-4AF5BEABF6CF}">
      <formula1>"Potenzfunktion, Oberfläche hat Fluidtemp"</formula1>
    </dataValidation>
    <dataValidation type="list" allowBlank="1" showInputMessage="1" showErrorMessage="1" sqref="B46:D47" xr:uid="{B598211F-DE4E-4801-97B8-3403119EEC5E}">
      <formula1>"Vorgabe"</formula1>
    </dataValidation>
    <dataValidation type="list" allowBlank="1" showInputMessage="1" showErrorMessage="1" sqref="B37:D37" xr:uid="{79640739-5A5C-42B5-B831-7E25438C3B91}">
      <mc:AlternateContent xmlns:x12ac="http://schemas.microsoft.com/office/spreadsheetml/2011/1/ac" xmlns:mc="http://schemas.openxmlformats.org/markup-compatibility/2006">
        <mc:Choice Requires="x12ac">
          <x12ac:list>Vorgabe,"Gesamtsystem, WP","Gesamtsystem, Free Cooling"</x12ac:list>
        </mc:Choice>
        <mc:Fallback>
          <formula1>"Vorgabe,Gesamtsystem, WP,Gesamtsystem, Free Cooling"</formula1>
        </mc:Fallback>
      </mc:AlternateContent>
    </dataValidation>
    <dataValidation type="list" allowBlank="1" showInputMessage="1" showErrorMessage="1" sqref="B45:D45" xr:uid="{011BED17-BB3C-4EBF-A8DB-E53C2EB43FCE}">
      <formula1>Umgebungsprofile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Simulation_Raum">
                <anchor moveWithCells="1" sizeWithCells="1">
                  <from>
                    <xdr:col>4</xdr:col>
                    <xdr:colOff>787400</xdr:colOff>
                    <xdr:row>1</xdr:row>
                    <xdr:rowOff>0</xdr:rowOff>
                  </from>
                  <to>
                    <xdr:col>4</xdr:col>
                    <xdr:colOff>2197100</xdr:colOff>
                    <xdr:row>2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5275D-12C7-493C-957E-957341EBD2A2}">
  <sheetPr codeName="Sheet16"/>
  <dimension ref="A1:A9"/>
  <sheetViews>
    <sheetView tabSelected="1" workbookViewId="0">
      <selection activeCell="H28" sqref="H28"/>
    </sheetView>
  </sheetViews>
  <sheetFormatPr defaultRowHeight="14.5" x14ac:dyDescent="0.35"/>
  <sheetData>
    <row r="1" spans="1:1" x14ac:dyDescent="0.35">
      <c r="A1" t="s">
        <v>433</v>
      </c>
    </row>
    <row r="2" spans="1:1" x14ac:dyDescent="0.35">
      <c r="A2" t="s">
        <v>434</v>
      </c>
    </row>
    <row r="3" spans="1:1" x14ac:dyDescent="0.35">
      <c r="A3" t="s">
        <v>435</v>
      </c>
    </row>
    <row r="4" spans="1:1" x14ac:dyDescent="0.35">
      <c r="A4" t="s">
        <v>436</v>
      </c>
    </row>
    <row r="5" spans="1:1" x14ac:dyDescent="0.35">
      <c r="A5" t="s">
        <v>437</v>
      </c>
    </row>
    <row r="6" spans="1:1" x14ac:dyDescent="0.35">
      <c r="A6" t="s">
        <v>438</v>
      </c>
    </row>
    <row r="7" spans="1:1" x14ac:dyDescent="0.35">
      <c r="A7" t="s">
        <v>439</v>
      </c>
    </row>
    <row r="8" spans="1:1" x14ac:dyDescent="0.35">
      <c r="A8" t="s">
        <v>440</v>
      </c>
    </row>
    <row r="9" spans="1:1" x14ac:dyDescent="0.35">
      <c r="A9" t="s">
        <v>441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D0448-D09F-49FB-9425-55F3DFFFF2E0}">
  <sheetPr codeName="Sheet5"/>
  <dimension ref="B1:K3"/>
  <sheetViews>
    <sheetView workbookViewId="0">
      <selection sqref="A1:XFD1048576"/>
    </sheetView>
  </sheetViews>
  <sheetFormatPr defaultColWidth="8.7265625" defaultRowHeight="14.5" x14ac:dyDescent="0.35"/>
  <sheetData>
    <row r="1" spans="2:11" x14ac:dyDescent="0.35">
      <c r="B1">
        <v>1</v>
      </c>
      <c r="C1">
        <v>1.9991666666666668</v>
      </c>
      <c r="D1">
        <v>2.9983333333333335</v>
      </c>
      <c r="E1">
        <v>3.9975000000000001</v>
      </c>
      <c r="F1">
        <v>4.996666666666667</v>
      </c>
      <c r="G1">
        <v>5.9958333333333336</v>
      </c>
      <c r="H1">
        <v>6.9950000000000001</v>
      </c>
      <c r="I1">
        <v>7.9941666666666666</v>
      </c>
      <c r="J1">
        <v>8.9933333333333341</v>
      </c>
      <c r="K1">
        <v>9.9924999999999997</v>
      </c>
    </row>
    <row r="2" spans="2:11" x14ac:dyDescent="0.35">
      <c r="B2">
        <v>6.673053737316609</v>
      </c>
      <c r="C2">
        <v>5.8539490680112403</v>
      </c>
      <c r="D2">
        <v>5.4968132409175707</v>
      </c>
      <c r="E2">
        <v>5.189808444277265</v>
      </c>
      <c r="F2">
        <v>4.9176778599970534</v>
      </c>
      <c r="G2">
        <v>4.6729121800486517</v>
      </c>
      <c r="H2">
        <v>4.4507410408049592</v>
      </c>
      <c r="I2">
        <v>4.2478120026575912</v>
      </c>
      <c r="J2">
        <v>4.0615994801895301</v>
      </c>
      <c r="K2">
        <v>3.8900957165666585</v>
      </c>
    </row>
    <row r="3" spans="2:11" x14ac:dyDescent="0.35">
      <c r="B3">
        <v>6.6728864240972108</v>
      </c>
      <c r="C3">
        <v>5.8595238101493328</v>
      </c>
      <c r="D3">
        <v>5.4980176667456515</v>
      </c>
      <c r="E3">
        <v>5.1885682675580842</v>
      </c>
      <c r="F3">
        <v>4.9147316164978685</v>
      </c>
      <c r="G3">
        <v>4.6760244727108615</v>
      </c>
      <c r="H3">
        <v>4.451380390368243</v>
      </c>
      <c r="I3">
        <v>4.2487820717474367</v>
      </c>
      <c r="J3">
        <v>4.0615594066340215</v>
      </c>
      <c r="K3">
        <v>3.8902483062496818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B5256-B378-46F5-B82C-17E0AB71AED6}">
  <sheetPr codeName="Sheet15"/>
  <dimension ref="A1:K3"/>
  <sheetViews>
    <sheetView workbookViewId="0">
      <selection sqref="A1:XFD1048576"/>
    </sheetView>
  </sheetViews>
  <sheetFormatPr defaultColWidth="8.7265625" defaultRowHeight="14.5" x14ac:dyDescent="0.35"/>
  <sheetData>
    <row r="1" spans="1:11" x14ac:dyDescent="0.35">
      <c r="A1" t="s">
        <v>345</v>
      </c>
      <c r="B1">
        <v>1</v>
      </c>
      <c r="C1">
        <v>1.9991666666666668</v>
      </c>
      <c r="D1">
        <v>2.9983333333333335</v>
      </c>
      <c r="E1">
        <v>3.9975000000000001</v>
      </c>
      <c r="F1">
        <v>4.996666666666667</v>
      </c>
      <c r="G1">
        <v>5.9958333333333336</v>
      </c>
      <c r="H1">
        <v>6.9950000000000001</v>
      </c>
      <c r="I1">
        <v>7.9941666666666666</v>
      </c>
      <c r="J1">
        <v>8.9933333333333341</v>
      </c>
      <c r="K1">
        <v>9.9924999999999997</v>
      </c>
    </row>
    <row r="2" spans="1:11" x14ac:dyDescent="0.35">
      <c r="A2" t="s">
        <v>300</v>
      </c>
      <c r="B2">
        <v>20</v>
      </c>
      <c r="C2">
        <v>20</v>
      </c>
      <c r="D2">
        <v>20</v>
      </c>
      <c r="E2">
        <v>20</v>
      </c>
      <c r="F2">
        <v>20</v>
      </c>
      <c r="G2">
        <v>20</v>
      </c>
      <c r="H2">
        <v>20</v>
      </c>
      <c r="I2">
        <v>20</v>
      </c>
      <c r="J2">
        <v>20</v>
      </c>
      <c r="K2">
        <v>20</v>
      </c>
    </row>
    <row r="3" spans="1:11" x14ac:dyDescent="0.35">
      <c r="A3" t="s">
        <v>410</v>
      </c>
      <c r="B3">
        <v>6673.0537373166089</v>
      </c>
      <c r="C3">
        <v>5853.9490680112403</v>
      </c>
      <c r="D3">
        <v>5496.8132409175705</v>
      </c>
      <c r="E3">
        <v>5189.8084442772652</v>
      </c>
      <c r="F3">
        <v>4917.677859997053</v>
      </c>
      <c r="G3">
        <v>4672.9121800486519</v>
      </c>
      <c r="H3">
        <v>4450.7410408049591</v>
      </c>
      <c r="I3">
        <v>4247.8120026575916</v>
      </c>
      <c r="J3">
        <v>4061.5994801895299</v>
      </c>
      <c r="K3">
        <v>3890.0957165666587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BAB96-D373-44FA-BA25-0835312E6CAC}">
  <sheetPr codeName="Sheet11"/>
  <dimension ref="A1:K4"/>
  <sheetViews>
    <sheetView workbookViewId="0">
      <selection sqref="A1:XFD1048576"/>
    </sheetView>
  </sheetViews>
  <sheetFormatPr defaultColWidth="8.7265625" defaultRowHeight="14.5" x14ac:dyDescent="0.35"/>
  <sheetData>
    <row r="1" spans="1:11" x14ac:dyDescent="0.35">
      <c r="A1" t="s">
        <v>345</v>
      </c>
      <c r="B1">
        <v>1</v>
      </c>
      <c r="C1">
        <v>1.9991666666666668</v>
      </c>
      <c r="D1">
        <v>2.9983333333333335</v>
      </c>
      <c r="E1">
        <v>3.9975000000000001</v>
      </c>
      <c r="F1">
        <v>4.996666666666667</v>
      </c>
      <c r="G1">
        <v>5.9958333333333336</v>
      </c>
      <c r="H1">
        <v>6.9950000000000001</v>
      </c>
      <c r="I1">
        <v>7.9941666666666666</v>
      </c>
      <c r="J1">
        <v>8.9933333333333341</v>
      </c>
      <c r="K1">
        <v>9.9924999999999997</v>
      </c>
    </row>
    <row r="2" spans="1:11" x14ac:dyDescent="0.35">
      <c r="A2" t="s">
        <v>346</v>
      </c>
      <c r="B2">
        <v>22.8</v>
      </c>
      <c r="C2">
        <v>22.8</v>
      </c>
      <c r="D2">
        <v>20.7</v>
      </c>
      <c r="E2">
        <v>18.600000000000001</v>
      </c>
      <c r="F2">
        <v>18.600000000000001</v>
      </c>
      <c r="G2">
        <v>17.100000000000001</v>
      </c>
      <c r="H2">
        <v>15.3</v>
      </c>
      <c r="I2">
        <v>14.3</v>
      </c>
      <c r="J2">
        <v>13.5</v>
      </c>
      <c r="K2">
        <v>13.3</v>
      </c>
    </row>
    <row r="3" spans="1:11" x14ac:dyDescent="0.35">
      <c r="A3" t="s">
        <v>347</v>
      </c>
      <c r="B3">
        <v>27.672190892309793</v>
      </c>
      <c r="C3">
        <v>27.04782807498858</v>
      </c>
      <c r="D3">
        <v>24.185456836538151</v>
      </c>
      <c r="E3">
        <v>22.294844771103485</v>
      </c>
      <c r="F3">
        <v>22.766133211400721</v>
      </c>
      <c r="G3">
        <v>21.051531778692286</v>
      </c>
      <c r="H3">
        <v>19.193004115226344</v>
      </c>
      <c r="I3">
        <v>17.745996827493567</v>
      </c>
      <c r="J3">
        <v>17.263006617855993</v>
      </c>
      <c r="K3">
        <v>16.692527110253074</v>
      </c>
    </row>
    <row r="4" spans="1:11" x14ac:dyDescent="0.35">
      <c r="A4" t="s">
        <v>409</v>
      </c>
      <c r="B4">
        <v>6672.8864240972107</v>
      </c>
      <c r="C4">
        <v>5859.5238101493323</v>
      </c>
      <c r="D4">
        <v>5498.0176667456517</v>
      </c>
      <c r="E4">
        <v>5188.5682675580838</v>
      </c>
      <c r="F4">
        <v>4914.7316164978683</v>
      </c>
      <c r="G4">
        <v>4676.0244727108611</v>
      </c>
      <c r="H4">
        <v>4451.3803903682428</v>
      </c>
      <c r="I4">
        <v>4248.7820717474369</v>
      </c>
      <c r="J4">
        <v>4061.5594066340218</v>
      </c>
      <c r="K4">
        <v>3890.2483062496817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8776D-B133-4D37-8204-E5FF4FF01ABF}">
  <sheetPr codeName="Sheet10"/>
  <dimension ref="B1:K4"/>
  <sheetViews>
    <sheetView workbookViewId="0">
      <selection sqref="A1:XFD1048576"/>
    </sheetView>
  </sheetViews>
  <sheetFormatPr defaultColWidth="8.7265625" defaultRowHeight="14.5" x14ac:dyDescent="0.35"/>
  <cols>
    <col min="10" max="10" width="9.453125" bestFit="1" customWidth="1"/>
  </cols>
  <sheetData>
    <row r="1" spans="2:11" x14ac:dyDescent="0.35">
      <c r="B1">
        <v>0</v>
      </c>
      <c r="C1">
        <v>0.99916666666666665</v>
      </c>
      <c r="D1">
        <v>1.9983333333333333</v>
      </c>
      <c r="E1">
        <v>2.9975000000000001</v>
      </c>
      <c r="F1">
        <v>3.9966666666666666</v>
      </c>
      <c r="G1">
        <v>4.9958333333333336</v>
      </c>
      <c r="H1">
        <v>5.9950000000000001</v>
      </c>
      <c r="I1">
        <v>6.9941666666666666</v>
      </c>
      <c r="J1">
        <v>7.9933333333333332</v>
      </c>
      <c r="K1">
        <v>8.9924999999999997</v>
      </c>
    </row>
    <row r="2" spans="2:11" x14ac:dyDescent="0.35">
      <c r="B2">
        <v>0</v>
      </c>
      <c r="C2">
        <v>-9794.6041803933367</v>
      </c>
      <c r="D2">
        <v>-19331.640876982485</v>
      </c>
      <c r="E2">
        <v>-28822.639537772269</v>
      </c>
      <c r="F2">
        <v>-38299.763455521483</v>
      </c>
      <c r="G2">
        <v>-47758.443750510261</v>
      </c>
      <c r="H2">
        <v>-57185.644958851291</v>
      </c>
      <c r="I2">
        <v>-66566.074889679308</v>
      </c>
      <c r="J2">
        <v>-75884.515467189369</v>
      </c>
      <c r="K2">
        <v>-85126.833568540285</v>
      </c>
    </row>
    <row r="3" spans="2:11" x14ac:dyDescent="0.35">
      <c r="B3">
        <v>0</v>
      </c>
      <c r="C3">
        <v>-12954.636047193522</v>
      </c>
      <c r="D3">
        <v>-24879.85039349923</v>
      </c>
      <c r="E3">
        <v>-35633.162180274747</v>
      </c>
      <c r="F3">
        <v>-45315.891292448519</v>
      </c>
      <c r="G3">
        <v>-54032.963260777578</v>
      </c>
      <c r="H3">
        <v>-61884.068366217682</v>
      </c>
      <c r="I3">
        <v>-68960.974514797053</v>
      </c>
      <c r="J3">
        <v>-75346.817128271359</v>
      </c>
      <c r="K3">
        <v>-81116.253383987147</v>
      </c>
    </row>
    <row r="4" spans="2:11" x14ac:dyDescent="0.35">
      <c r="B4">
        <v>0</v>
      </c>
      <c r="C4">
        <v>-634.05125159103375</v>
      </c>
      <c r="D4">
        <v>-786.13540610538178</v>
      </c>
      <c r="E4">
        <v>-919.24361313539953</v>
      </c>
      <c r="F4">
        <v>-1038.3145542402378</v>
      </c>
      <c r="G4">
        <v>-1145.8753071958424</v>
      </c>
      <c r="H4">
        <v>-1243.6369550798131</v>
      </c>
      <c r="I4">
        <v>-1332.8785473904998</v>
      </c>
      <c r="J4">
        <v>-1414.6154257352405</v>
      </c>
      <c r="K4">
        <v>-1489.6882750635891</v>
      </c>
    </row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D5315-ABD0-4C07-A435-2BC6A224728F}">
  <sheetPr codeName="Sheet4"/>
  <dimension ref="A1:B33"/>
  <sheetViews>
    <sheetView workbookViewId="0">
      <selection activeCell="B27" sqref="B27"/>
    </sheetView>
  </sheetViews>
  <sheetFormatPr defaultColWidth="8.90625" defaultRowHeight="14.5" x14ac:dyDescent="0.35"/>
  <cols>
    <col min="1" max="1" width="8.90625" style="86"/>
    <col min="2" max="2" width="70.36328125" style="86" customWidth="1"/>
    <col min="3" max="16384" width="8.90625" style="86"/>
  </cols>
  <sheetData>
    <row r="1" spans="2:2" x14ac:dyDescent="0.35">
      <c r="B1" s="86" t="s">
        <v>348</v>
      </c>
    </row>
    <row r="2" spans="2:2" x14ac:dyDescent="0.35">
      <c r="B2" s="86" t="s">
        <v>349</v>
      </c>
    </row>
    <row r="3" spans="2:2" x14ac:dyDescent="0.35">
      <c r="B3" s="86" t="s">
        <v>350</v>
      </c>
    </row>
    <row r="4" spans="2:2" ht="29" x14ac:dyDescent="0.35">
      <c r="B4" s="86" t="s">
        <v>351</v>
      </c>
    </row>
    <row r="5" spans="2:2" ht="29" x14ac:dyDescent="0.35">
      <c r="B5" s="86" t="s">
        <v>352</v>
      </c>
    </row>
    <row r="6" spans="2:2" x14ac:dyDescent="0.35">
      <c r="B6" s="86" t="s">
        <v>353</v>
      </c>
    </row>
    <row r="8" spans="2:2" x14ac:dyDescent="0.35">
      <c r="B8" s="86" t="s">
        <v>349</v>
      </c>
    </row>
    <row r="9" spans="2:2" x14ac:dyDescent="0.35">
      <c r="B9" s="86" t="s">
        <v>350</v>
      </c>
    </row>
    <row r="10" spans="2:2" ht="29" x14ac:dyDescent="0.35">
      <c r="B10" s="86" t="s">
        <v>352</v>
      </c>
    </row>
    <row r="11" spans="2:2" x14ac:dyDescent="0.35">
      <c r="B11" s="86" t="s">
        <v>354</v>
      </c>
    </row>
    <row r="13" spans="2:2" ht="29" x14ac:dyDescent="0.35">
      <c r="B13" s="86" t="s">
        <v>352</v>
      </c>
    </row>
    <row r="14" spans="2:2" x14ac:dyDescent="0.35">
      <c r="B14" s="87" t="s">
        <v>355</v>
      </c>
    </row>
    <row r="15" spans="2:2" x14ac:dyDescent="0.35">
      <c r="B15" s="86" t="s">
        <v>356</v>
      </c>
    </row>
    <row r="16" spans="2:2" x14ac:dyDescent="0.35">
      <c r="B16" s="86" t="s">
        <v>357</v>
      </c>
    </row>
    <row r="17" spans="1:2" x14ac:dyDescent="0.35">
      <c r="B17" s="86" t="s">
        <v>358</v>
      </c>
    </row>
    <row r="18" spans="1:2" x14ac:dyDescent="0.35">
      <c r="A18" s="86">
        <v>1</v>
      </c>
      <c r="B18" s="86" t="s">
        <v>359</v>
      </c>
    </row>
    <row r="19" spans="1:2" x14ac:dyDescent="0.35">
      <c r="A19" s="86">
        <v>2</v>
      </c>
      <c r="B19" s="86" t="s">
        <v>360</v>
      </c>
    </row>
    <row r="20" spans="1:2" x14ac:dyDescent="0.35">
      <c r="A20" s="86">
        <v>3</v>
      </c>
      <c r="B20" s="86" t="s">
        <v>361</v>
      </c>
    </row>
    <row r="21" spans="1:2" x14ac:dyDescent="0.35">
      <c r="A21" s="86">
        <v>4</v>
      </c>
      <c r="B21" s="86" t="s">
        <v>362</v>
      </c>
    </row>
    <row r="22" spans="1:2" x14ac:dyDescent="0.35">
      <c r="A22" s="86">
        <v>5</v>
      </c>
      <c r="B22" s="86" t="s">
        <v>363</v>
      </c>
    </row>
    <row r="23" spans="1:2" x14ac:dyDescent="0.35">
      <c r="A23" s="86">
        <v>6</v>
      </c>
      <c r="B23" s="86" t="s">
        <v>364</v>
      </c>
    </row>
    <row r="24" spans="1:2" x14ac:dyDescent="0.35">
      <c r="A24" s="86">
        <v>7</v>
      </c>
      <c r="B24" s="86" t="s">
        <v>365</v>
      </c>
    </row>
    <row r="25" spans="1:2" x14ac:dyDescent="0.35">
      <c r="A25" s="86">
        <v>8</v>
      </c>
      <c r="B25" s="86" t="s">
        <v>366</v>
      </c>
    </row>
    <row r="26" spans="1:2" x14ac:dyDescent="0.35">
      <c r="B26" s="86" t="s">
        <v>367</v>
      </c>
    </row>
    <row r="28" spans="1:2" x14ac:dyDescent="0.35">
      <c r="B28" s="87" t="s">
        <v>368</v>
      </c>
    </row>
    <row r="29" spans="1:2" x14ac:dyDescent="0.35">
      <c r="B29" s="86" t="s">
        <v>349</v>
      </c>
    </row>
    <row r="30" spans="1:2" x14ac:dyDescent="0.35">
      <c r="B30" s="86" t="s">
        <v>350</v>
      </c>
    </row>
    <row r="31" spans="1:2" ht="29" x14ac:dyDescent="0.35">
      <c r="B31" s="86" t="s">
        <v>351</v>
      </c>
    </row>
    <row r="32" spans="1:2" x14ac:dyDescent="0.35">
      <c r="B32" s="86" t="s">
        <v>369</v>
      </c>
    </row>
    <row r="33" spans="2:2" x14ac:dyDescent="0.35">
      <c r="B33" s="86" t="s">
        <v>370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E2015-34D5-40E3-9678-55F5411A20BA}">
  <sheetPr codeName="Sheet1"/>
  <dimension ref="A1:V8"/>
  <sheetViews>
    <sheetView zoomScale="130" zoomScaleNormal="130" workbookViewId="0">
      <selection activeCell="D3" sqref="D3"/>
    </sheetView>
  </sheetViews>
  <sheetFormatPr defaultColWidth="8.7265625" defaultRowHeight="14.5" x14ac:dyDescent="0.35"/>
  <cols>
    <col min="1" max="1" width="8.36328125" customWidth="1"/>
    <col min="2" max="2" width="6.6328125" customWidth="1"/>
  </cols>
  <sheetData>
    <row r="1" spans="1:22" x14ac:dyDescent="0.35">
      <c r="A1" s="4" t="s">
        <v>371</v>
      </c>
      <c r="B1" s="4" t="s">
        <v>372</v>
      </c>
      <c r="C1" s="4" t="s">
        <v>373</v>
      </c>
      <c r="D1" s="4" t="s">
        <v>374</v>
      </c>
      <c r="E1" s="4" t="s">
        <v>375</v>
      </c>
      <c r="F1" s="4" t="s">
        <v>376</v>
      </c>
      <c r="G1" s="4" t="s">
        <v>377</v>
      </c>
      <c r="H1" s="4" t="s">
        <v>378</v>
      </c>
      <c r="I1" s="4" t="s">
        <v>379</v>
      </c>
      <c r="J1" s="4" t="s">
        <v>380</v>
      </c>
      <c r="K1" s="4" t="s">
        <v>381</v>
      </c>
      <c r="L1" s="4" t="s">
        <v>382</v>
      </c>
      <c r="M1" s="4" t="s">
        <v>271</v>
      </c>
      <c r="N1" s="4" t="s">
        <v>383</v>
      </c>
      <c r="O1" s="4"/>
      <c r="P1" s="4"/>
      <c r="Q1" s="4"/>
      <c r="R1" s="4"/>
      <c r="S1" s="4"/>
      <c r="V1" t="s">
        <v>371</v>
      </c>
    </row>
    <row r="2" spans="1:22" x14ac:dyDescent="0.35">
      <c r="A2" s="4" t="s">
        <v>384</v>
      </c>
      <c r="B2" s="4"/>
      <c r="C2" s="4"/>
      <c r="D2" s="4"/>
      <c r="E2" s="4" t="s">
        <v>385</v>
      </c>
      <c r="F2" s="4" t="s">
        <v>386</v>
      </c>
      <c r="G2" s="4" t="s">
        <v>387</v>
      </c>
      <c r="H2" s="4"/>
      <c r="I2" s="4" t="s">
        <v>388</v>
      </c>
      <c r="J2" s="4" t="s">
        <v>389</v>
      </c>
      <c r="K2" s="4" t="s">
        <v>389</v>
      </c>
      <c r="L2" s="4" t="s">
        <v>390</v>
      </c>
      <c r="M2" s="4" t="s">
        <v>33</v>
      </c>
      <c r="N2" s="4" t="s">
        <v>391</v>
      </c>
      <c r="O2" s="4"/>
      <c r="P2" s="4"/>
      <c r="Q2" s="4"/>
      <c r="R2" s="4"/>
      <c r="S2" s="4"/>
      <c r="V2" t="s">
        <v>384</v>
      </c>
    </row>
    <row r="3" spans="1:22" x14ac:dyDescent="0.35">
      <c r="A3" t="s">
        <v>392</v>
      </c>
      <c r="B3">
        <v>0.65300000000000002</v>
      </c>
      <c r="C3">
        <v>1479</v>
      </c>
      <c r="D3">
        <v>1</v>
      </c>
      <c r="E3">
        <v>19.678999999999998</v>
      </c>
      <c r="F3">
        <v>0.02</v>
      </c>
      <c r="G3">
        <v>1.3979999999999999</v>
      </c>
      <c r="H3">
        <v>0.379</v>
      </c>
      <c r="I3">
        <v>18135.3</v>
      </c>
      <c r="J3">
        <v>1.9E-2</v>
      </c>
      <c r="K3">
        <v>0.03</v>
      </c>
      <c r="L3">
        <v>0</v>
      </c>
      <c r="M3">
        <v>2</v>
      </c>
      <c r="V3" t="s">
        <v>392</v>
      </c>
    </row>
    <row r="4" spans="1:22" x14ac:dyDescent="0.35">
      <c r="A4" t="s">
        <v>393</v>
      </c>
      <c r="B4">
        <v>0.24399999999999999</v>
      </c>
      <c r="C4">
        <v>727.4</v>
      </c>
      <c r="D4">
        <v>1</v>
      </c>
      <c r="E4">
        <v>23.83</v>
      </c>
      <c r="F4">
        <v>0</v>
      </c>
      <c r="G4">
        <v>2.87</v>
      </c>
      <c r="H4">
        <v>0.73199999999999998</v>
      </c>
      <c r="I4">
        <v>13608.7</v>
      </c>
      <c r="J4">
        <v>0</v>
      </c>
      <c r="K4">
        <v>0.01</v>
      </c>
      <c r="L4">
        <v>0</v>
      </c>
      <c r="M4">
        <v>2</v>
      </c>
      <c r="V4" t="s">
        <v>393</v>
      </c>
    </row>
    <row r="5" spans="1:22" x14ac:dyDescent="0.35">
      <c r="A5" t="s">
        <v>394</v>
      </c>
      <c r="B5">
        <v>0.40200000000000002</v>
      </c>
      <c r="C5">
        <v>4.3630000000000004</v>
      </c>
      <c r="D5">
        <v>0.88700000000000001</v>
      </c>
      <c r="E5">
        <v>24.988</v>
      </c>
      <c r="F5">
        <v>0.15</v>
      </c>
      <c r="G5">
        <v>4.0359999999999996</v>
      </c>
      <c r="H5">
        <v>5.8000000000000003E-2</v>
      </c>
      <c r="I5">
        <v>6819.4</v>
      </c>
      <c r="J5">
        <v>3.2000000000000001E-2</v>
      </c>
      <c r="K5">
        <v>8.3000000000000004E-2</v>
      </c>
      <c r="L5">
        <v>0</v>
      </c>
      <c r="M5">
        <v>2</v>
      </c>
      <c r="V5" t="s">
        <v>394</v>
      </c>
    </row>
    <row r="6" spans="1:22" x14ac:dyDescent="0.35">
      <c r="A6" t="s">
        <v>395</v>
      </c>
      <c r="B6">
        <v>0.623</v>
      </c>
      <c r="C6">
        <v>2213.1</v>
      </c>
      <c r="D6">
        <v>1</v>
      </c>
      <c r="E6">
        <v>22.423999999999999</v>
      </c>
      <c r="F6">
        <v>3.2000000000000001E-2</v>
      </c>
      <c r="G6">
        <v>5.01</v>
      </c>
      <c r="H6">
        <v>0.03</v>
      </c>
      <c r="I6">
        <v>3279.3</v>
      </c>
      <c r="J6">
        <v>2.5999999999999999E-2</v>
      </c>
      <c r="K6">
        <v>0.192</v>
      </c>
      <c r="L6">
        <v>0</v>
      </c>
      <c r="M6">
        <v>2</v>
      </c>
      <c r="V6" t="s">
        <v>395</v>
      </c>
    </row>
    <row r="7" spans="1:22" x14ac:dyDescent="0.35">
      <c r="A7" t="s">
        <v>188</v>
      </c>
      <c r="B7">
        <v>0.375</v>
      </c>
      <c r="C7">
        <v>9.1170000000000009</v>
      </c>
      <c r="D7">
        <v>1</v>
      </c>
      <c r="E7">
        <v>56.351999999999997</v>
      </c>
      <c r="F7">
        <v>5.3999999999999999E-2</v>
      </c>
      <c r="G7">
        <v>5.9550000000000001</v>
      </c>
      <c r="H7">
        <v>0</v>
      </c>
      <c r="I7">
        <v>2631.7</v>
      </c>
      <c r="J7">
        <v>0</v>
      </c>
      <c r="K7">
        <v>6.8000000000000005E-2</v>
      </c>
      <c r="L7">
        <v>0</v>
      </c>
      <c r="M7">
        <v>2</v>
      </c>
      <c r="V7" t="s">
        <v>188</v>
      </c>
    </row>
    <row r="8" spans="1:22" x14ac:dyDescent="0.35">
      <c r="A8" t="s">
        <v>396</v>
      </c>
      <c r="B8">
        <v>0.38500000000000001</v>
      </c>
      <c r="C8">
        <v>61.555999999999997</v>
      </c>
      <c r="D8">
        <v>1</v>
      </c>
      <c r="E8">
        <v>17.140999999999998</v>
      </c>
      <c r="F8">
        <v>0</v>
      </c>
      <c r="G8">
        <v>1.802</v>
      </c>
      <c r="H8">
        <v>7.1999999999999995E-2</v>
      </c>
      <c r="I8">
        <v>6662.4</v>
      </c>
      <c r="J8">
        <v>3.5999999999999997E-2</v>
      </c>
      <c r="K8">
        <v>0</v>
      </c>
      <c r="L8">
        <v>0</v>
      </c>
      <c r="M8">
        <v>2</v>
      </c>
      <c r="V8" t="s">
        <v>396</v>
      </c>
    </row>
  </sheetData>
  <phoneticPr fontId="1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53473-2E40-4967-9F6A-997B908AADCC}">
  <sheetPr codeName="Sheet3"/>
  <dimension ref="A1:X35"/>
  <sheetViews>
    <sheetView zoomScale="115" zoomScaleNormal="115" workbookViewId="0">
      <selection activeCell="D25" sqref="D25"/>
    </sheetView>
  </sheetViews>
  <sheetFormatPr defaultColWidth="8.7265625" defaultRowHeight="14.5" x14ac:dyDescent="0.35"/>
  <sheetData>
    <row r="1" spans="1:24" x14ac:dyDescent="0.35">
      <c r="A1" s="4" t="s">
        <v>397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4" x14ac:dyDescent="0.35">
      <c r="A2" s="4"/>
      <c r="B2" s="89" t="s">
        <v>398</v>
      </c>
      <c r="C2" s="4"/>
      <c r="D2" s="4"/>
      <c r="E2" s="90"/>
      <c r="F2" s="89" t="s">
        <v>399</v>
      </c>
      <c r="G2" s="4"/>
      <c r="H2" s="4"/>
      <c r="I2" s="90"/>
      <c r="J2" s="89" t="s">
        <v>318</v>
      </c>
      <c r="K2" s="4"/>
      <c r="L2" s="4"/>
      <c r="M2" s="90"/>
      <c r="N2" s="89" t="s">
        <v>400</v>
      </c>
      <c r="O2" s="4"/>
      <c r="P2" s="4"/>
      <c r="Q2" s="90"/>
      <c r="R2" s="89" t="s">
        <v>405</v>
      </c>
      <c r="S2" s="4"/>
      <c r="T2" s="4"/>
      <c r="U2" s="90"/>
    </row>
    <row r="3" spans="1:24" x14ac:dyDescent="0.35">
      <c r="A3" s="9" t="s">
        <v>189</v>
      </c>
      <c r="B3" s="64" t="s">
        <v>346</v>
      </c>
      <c r="C3" s="9" t="s">
        <v>190</v>
      </c>
      <c r="D3" s="9" t="s">
        <v>401</v>
      </c>
      <c r="E3" s="49" t="s">
        <v>402</v>
      </c>
      <c r="F3" s="64" t="s">
        <v>346</v>
      </c>
      <c r="G3" s="9" t="s">
        <v>190</v>
      </c>
      <c r="H3" s="9" t="s">
        <v>401</v>
      </c>
      <c r="I3" s="49" t="s">
        <v>402</v>
      </c>
      <c r="J3" s="64" t="s">
        <v>346</v>
      </c>
      <c r="K3" s="9" t="s">
        <v>190</v>
      </c>
      <c r="L3" s="9" t="s">
        <v>401</v>
      </c>
      <c r="M3" s="49" t="s">
        <v>402</v>
      </c>
      <c r="N3" s="64" t="s">
        <v>346</v>
      </c>
      <c r="O3" s="9" t="s">
        <v>190</v>
      </c>
      <c r="P3" s="9" t="s">
        <v>401</v>
      </c>
      <c r="Q3" s="49" t="s">
        <v>402</v>
      </c>
      <c r="R3" s="64" t="s">
        <v>346</v>
      </c>
      <c r="S3" s="9" t="s">
        <v>190</v>
      </c>
      <c r="T3" s="9" t="s">
        <v>401</v>
      </c>
      <c r="U3" s="49" t="s">
        <v>402</v>
      </c>
      <c r="V3" s="9" t="s">
        <v>406</v>
      </c>
    </row>
    <row r="4" spans="1:24" x14ac:dyDescent="0.35">
      <c r="A4" s="9" t="s">
        <v>195</v>
      </c>
      <c r="B4" s="64" t="s">
        <v>17</v>
      </c>
      <c r="C4" s="9" t="s">
        <v>13</v>
      </c>
      <c r="D4" s="9" t="s">
        <v>13</v>
      </c>
      <c r="E4" s="49" t="s">
        <v>74</v>
      </c>
      <c r="F4" s="64" t="s">
        <v>17</v>
      </c>
      <c r="G4" s="9" t="s">
        <v>13</v>
      </c>
      <c r="H4" s="9" t="s">
        <v>13</v>
      </c>
      <c r="I4" s="49" t="s">
        <v>74</v>
      </c>
      <c r="J4" s="64" t="s">
        <v>17</v>
      </c>
      <c r="K4" s="9" t="s">
        <v>13</v>
      </c>
      <c r="L4" s="9" t="s">
        <v>13</v>
      </c>
      <c r="M4" s="49" t="s">
        <v>74</v>
      </c>
      <c r="N4" s="64" t="s">
        <v>17</v>
      </c>
      <c r="O4" s="9" t="s">
        <v>13</v>
      </c>
      <c r="P4" s="9" t="s">
        <v>13</v>
      </c>
      <c r="Q4" s="49" t="s">
        <v>74</v>
      </c>
      <c r="R4" s="64" t="s">
        <v>17</v>
      </c>
      <c r="S4" s="9" t="s">
        <v>13</v>
      </c>
      <c r="T4" s="9" t="s">
        <v>13</v>
      </c>
      <c r="U4" s="49" t="s">
        <v>74</v>
      </c>
      <c r="V4" s="9" t="s">
        <v>45</v>
      </c>
    </row>
    <row r="5" spans="1:24" x14ac:dyDescent="0.35">
      <c r="A5">
        <v>12</v>
      </c>
      <c r="B5" s="50">
        <v>23.8</v>
      </c>
      <c r="C5">
        <v>338</v>
      </c>
      <c r="D5">
        <v>779</v>
      </c>
      <c r="E5" s="52">
        <v>2.8</v>
      </c>
      <c r="F5" s="50">
        <v>16.2</v>
      </c>
      <c r="G5">
        <v>361</v>
      </c>
      <c r="H5">
        <v>266</v>
      </c>
      <c r="I5" s="52">
        <v>7.8</v>
      </c>
      <c r="J5" s="50">
        <v>24.5</v>
      </c>
      <c r="K5">
        <v>327</v>
      </c>
      <c r="L5">
        <v>908</v>
      </c>
      <c r="M5" s="52">
        <v>5.8</v>
      </c>
      <c r="N5" s="50">
        <v>21.3</v>
      </c>
      <c r="O5">
        <v>404</v>
      </c>
      <c r="P5">
        <v>141</v>
      </c>
      <c r="Q5" s="52">
        <v>1.9</v>
      </c>
      <c r="R5" s="50">
        <v>20</v>
      </c>
      <c r="S5">
        <v>418.77499999999998</v>
      </c>
      <c r="T5">
        <v>0</v>
      </c>
      <c r="U5" s="52">
        <v>2</v>
      </c>
      <c r="V5" s="5" cm="1">
        <f t="array" ref="V5">T_Sky(S5)</f>
        <v>19.999965986391715</v>
      </c>
    </row>
    <row r="6" spans="1:24" x14ac:dyDescent="0.35">
      <c r="A6">
        <v>13</v>
      </c>
      <c r="B6" s="50">
        <v>25.2</v>
      </c>
      <c r="C6">
        <v>339</v>
      </c>
      <c r="D6">
        <v>830</v>
      </c>
      <c r="E6" s="52">
        <v>3.8</v>
      </c>
      <c r="F6" s="50">
        <v>17.3</v>
      </c>
      <c r="G6">
        <v>365</v>
      </c>
      <c r="H6">
        <v>280</v>
      </c>
      <c r="I6" s="52">
        <v>6.4</v>
      </c>
      <c r="J6" s="50">
        <v>26.1</v>
      </c>
      <c r="K6">
        <v>328</v>
      </c>
      <c r="L6">
        <v>985</v>
      </c>
      <c r="M6" s="52">
        <v>6.5</v>
      </c>
      <c r="N6" s="50">
        <v>21.6</v>
      </c>
      <c r="O6">
        <v>405</v>
      </c>
      <c r="P6">
        <v>149</v>
      </c>
      <c r="Q6" s="52">
        <v>1.4</v>
      </c>
      <c r="R6" s="50">
        <v>20</v>
      </c>
      <c r="S6">
        <v>418.77499999999998</v>
      </c>
      <c r="T6">
        <v>0</v>
      </c>
      <c r="U6" s="52">
        <v>2</v>
      </c>
      <c r="V6" s="5" cm="1">
        <f t="array" ref="V6">T_Sky(S6)</f>
        <v>19.999965986391715</v>
      </c>
    </row>
    <row r="7" spans="1:24" x14ac:dyDescent="0.35">
      <c r="A7">
        <v>14</v>
      </c>
      <c r="B7" s="50">
        <v>26.3</v>
      </c>
      <c r="C7">
        <v>343</v>
      </c>
      <c r="D7">
        <v>836</v>
      </c>
      <c r="E7" s="52">
        <v>1.9</v>
      </c>
      <c r="F7" s="50">
        <v>17.7</v>
      </c>
      <c r="G7">
        <v>368</v>
      </c>
      <c r="H7">
        <v>282</v>
      </c>
      <c r="I7" s="52">
        <v>2.8</v>
      </c>
      <c r="J7" s="50">
        <v>27.4</v>
      </c>
      <c r="K7">
        <v>326</v>
      </c>
      <c r="L7">
        <v>1010</v>
      </c>
      <c r="M7" s="52">
        <v>7.7</v>
      </c>
      <c r="N7" s="50">
        <v>21.9</v>
      </c>
      <c r="O7">
        <v>405</v>
      </c>
      <c r="P7">
        <v>169</v>
      </c>
      <c r="Q7" s="52">
        <v>1.2</v>
      </c>
      <c r="R7" s="50">
        <v>20</v>
      </c>
      <c r="S7">
        <v>418.77499999999998</v>
      </c>
      <c r="T7">
        <v>0</v>
      </c>
      <c r="U7" s="52">
        <v>2</v>
      </c>
      <c r="V7" s="5" cm="1">
        <f t="array" ref="V7">T_Sky(S7)</f>
        <v>19.999965986391715</v>
      </c>
    </row>
    <row r="8" spans="1:24" x14ac:dyDescent="0.35">
      <c r="A8">
        <v>15</v>
      </c>
      <c r="B8" s="50">
        <v>27.1</v>
      </c>
      <c r="C8">
        <v>343</v>
      </c>
      <c r="D8">
        <v>812</v>
      </c>
      <c r="E8" s="52">
        <v>0.8</v>
      </c>
      <c r="F8" s="50">
        <v>18.3</v>
      </c>
      <c r="G8">
        <v>367</v>
      </c>
      <c r="H8">
        <v>289</v>
      </c>
      <c r="I8" s="52">
        <v>2.8</v>
      </c>
      <c r="J8" s="50">
        <v>28.4</v>
      </c>
      <c r="K8">
        <v>329</v>
      </c>
      <c r="L8">
        <v>979</v>
      </c>
      <c r="M8" s="52">
        <v>7.7</v>
      </c>
      <c r="N8" s="50">
        <v>22.1</v>
      </c>
      <c r="O8">
        <v>401</v>
      </c>
      <c r="P8">
        <v>175</v>
      </c>
      <c r="Q8" s="52">
        <v>5.8</v>
      </c>
      <c r="R8" s="50">
        <v>20</v>
      </c>
      <c r="S8">
        <v>418.77499999999998</v>
      </c>
      <c r="T8">
        <v>0</v>
      </c>
      <c r="U8" s="52">
        <v>2</v>
      </c>
      <c r="V8" s="5" cm="1">
        <f t="array" ref="V8">T_Sky(S8)</f>
        <v>19.999965986391715</v>
      </c>
    </row>
    <row r="9" spans="1:24" x14ac:dyDescent="0.35">
      <c r="A9">
        <v>16</v>
      </c>
      <c r="B9" s="50">
        <v>27.6</v>
      </c>
      <c r="C9">
        <v>345</v>
      </c>
      <c r="D9">
        <v>743</v>
      </c>
      <c r="E9" s="52">
        <v>1.7</v>
      </c>
      <c r="F9" s="50">
        <v>18.399999999999999</v>
      </c>
      <c r="G9">
        <v>367</v>
      </c>
      <c r="H9">
        <v>277</v>
      </c>
      <c r="I9" s="52">
        <v>6.4</v>
      </c>
      <c r="J9" s="50">
        <v>28.9</v>
      </c>
      <c r="K9">
        <v>329</v>
      </c>
      <c r="L9">
        <v>901</v>
      </c>
      <c r="M9" s="52">
        <v>10.199999999999999</v>
      </c>
      <c r="N9" s="50">
        <v>22.3</v>
      </c>
      <c r="O9">
        <v>398</v>
      </c>
      <c r="P9">
        <v>167</v>
      </c>
      <c r="Q9" s="52">
        <v>4.0999999999999996</v>
      </c>
      <c r="R9" s="50">
        <v>20</v>
      </c>
      <c r="S9">
        <v>418.77499999999998</v>
      </c>
      <c r="T9">
        <v>0</v>
      </c>
      <c r="U9" s="52">
        <v>2</v>
      </c>
      <c r="V9" s="5" cm="1">
        <f t="array" ref="V9">T_Sky(S9)</f>
        <v>19.999965986391715</v>
      </c>
    </row>
    <row r="10" spans="1:24" x14ac:dyDescent="0.35">
      <c r="A10">
        <v>17</v>
      </c>
      <c r="B10" s="50">
        <v>27.7</v>
      </c>
      <c r="C10">
        <v>347</v>
      </c>
      <c r="D10">
        <v>620</v>
      </c>
      <c r="E10" s="52">
        <v>0.9</v>
      </c>
      <c r="F10" s="50">
        <v>18.399999999999999</v>
      </c>
      <c r="G10">
        <v>368</v>
      </c>
      <c r="H10">
        <v>220</v>
      </c>
      <c r="I10" s="52">
        <v>2.6</v>
      </c>
      <c r="J10" s="50">
        <v>29</v>
      </c>
      <c r="K10">
        <v>333</v>
      </c>
      <c r="L10">
        <v>781</v>
      </c>
      <c r="M10" s="52">
        <v>14.6</v>
      </c>
      <c r="N10" s="50">
        <v>22.3</v>
      </c>
      <c r="O10">
        <v>402</v>
      </c>
      <c r="P10">
        <v>146</v>
      </c>
      <c r="Q10" s="52">
        <v>6.5</v>
      </c>
      <c r="R10" s="50">
        <v>20</v>
      </c>
      <c r="S10">
        <v>418.77499999999998</v>
      </c>
      <c r="T10">
        <v>0</v>
      </c>
      <c r="U10" s="52">
        <v>2</v>
      </c>
      <c r="V10" s="5" cm="1">
        <f t="array" ref="V10">T_Sky(S10)</f>
        <v>19.999965986391715</v>
      </c>
    </row>
    <row r="11" spans="1:24" x14ac:dyDescent="0.35">
      <c r="A11">
        <v>18</v>
      </c>
      <c r="B11" s="50">
        <v>27.4</v>
      </c>
      <c r="C11">
        <v>349</v>
      </c>
      <c r="D11">
        <v>472</v>
      </c>
      <c r="E11" s="52">
        <v>0.7</v>
      </c>
      <c r="F11" s="50">
        <v>18.2</v>
      </c>
      <c r="G11">
        <v>367</v>
      </c>
      <c r="H11">
        <v>169</v>
      </c>
      <c r="I11" s="52">
        <v>4.5999999999999996</v>
      </c>
      <c r="J11" s="50">
        <v>28.7</v>
      </c>
      <c r="K11">
        <v>335</v>
      </c>
      <c r="L11">
        <v>625</v>
      </c>
      <c r="M11" s="52">
        <v>11</v>
      </c>
      <c r="N11" s="50">
        <v>22.2</v>
      </c>
      <c r="O11">
        <v>404</v>
      </c>
      <c r="P11">
        <v>101</v>
      </c>
      <c r="Q11" s="52">
        <v>6.5</v>
      </c>
      <c r="R11" s="50">
        <v>20</v>
      </c>
      <c r="S11">
        <v>418.77499999999998</v>
      </c>
      <c r="T11">
        <v>0</v>
      </c>
      <c r="U11" s="52">
        <v>2</v>
      </c>
      <c r="V11" s="5" cm="1">
        <f t="array" ref="V11">T_Sky(S11)</f>
        <v>19.999965986391715</v>
      </c>
    </row>
    <row r="12" spans="1:24" x14ac:dyDescent="0.35">
      <c r="A12">
        <v>19</v>
      </c>
      <c r="B12" s="50">
        <v>26.7</v>
      </c>
      <c r="C12">
        <v>353</v>
      </c>
      <c r="D12">
        <v>304</v>
      </c>
      <c r="E12" s="52">
        <v>4.5999999999999996</v>
      </c>
      <c r="F12" s="50">
        <v>17.8</v>
      </c>
      <c r="G12">
        <v>370</v>
      </c>
      <c r="H12">
        <v>101</v>
      </c>
      <c r="I12" s="52">
        <v>1.3</v>
      </c>
      <c r="J12" s="50">
        <v>27.8</v>
      </c>
      <c r="K12">
        <v>334</v>
      </c>
      <c r="L12">
        <v>444</v>
      </c>
      <c r="M12" s="52">
        <v>12.4</v>
      </c>
      <c r="N12" s="50">
        <v>22</v>
      </c>
      <c r="O12">
        <v>400</v>
      </c>
      <c r="P12">
        <v>74.099999999999994</v>
      </c>
      <c r="Q12" s="52">
        <v>2.9</v>
      </c>
      <c r="R12" s="50">
        <v>20</v>
      </c>
      <c r="S12">
        <v>418.77499999999998</v>
      </c>
      <c r="T12">
        <v>0</v>
      </c>
      <c r="U12" s="52">
        <v>2</v>
      </c>
      <c r="V12" s="5" cm="1">
        <f t="array" ref="V12">T_Sky(S12)</f>
        <v>19.999965986391715</v>
      </c>
    </row>
    <row r="13" spans="1:24" x14ac:dyDescent="0.35">
      <c r="A13">
        <v>20</v>
      </c>
      <c r="B13" s="50">
        <v>25.6</v>
      </c>
      <c r="C13">
        <v>360</v>
      </c>
      <c r="D13">
        <v>144</v>
      </c>
      <c r="E13" s="52">
        <v>3.8</v>
      </c>
      <c r="F13" s="50">
        <v>17.5</v>
      </c>
      <c r="G13">
        <v>368</v>
      </c>
      <c r="H13">
        <v>41.3</v>
      </c>
      <c r="I13" s="52">
        <v>1</v>
      </c>
      <c r="J13" s="50">
        <v>26.4</v>
      </c>
      <c r="K13">
        <v>337</v>
      </c>
      <c r="L13">
        <v>257</v>
      </c>
      <c r="M13" s="52">
        <v>5.8</v>
      </c>
      <c r="N13" s="50">
        <v>21.8</v>
      </c>
      <c r="O13">
        <v>401</v>
      </c>
      <c r="P13">
        <v>33.200000000000003</v>
      </c>
      <c r="Q13" s="52">
        <v>3.9</v>
      </c>
      <c r="R13" s="50">
        <v>20</v>
      </c>
      <c r="S13">
        <v>418.77499999999998</v>
      </c>
      <c r="T13">
        <v>0</v>
      </c>
      <c r="U13" s="52">
        <v>2</v>
      </c>
      <c r="V13" s="5" cm="1">
        <f t="array" ref="V13">T_Sky(S13)</f>
        <v>19.999965986391715</v>
      </c>
    </row>
    <row r="14" spans="1:24" ht="15" thickBot="1" x14ac:dyDescent="0.4">
      <c r="A14">
        <v>21</v>
      </c>
      <c r="B14" s="50">
        <v>24.3</v>
      </c>
      <c r="C14">
        <v>360</v>
      </c>
      <c r="D14">
        <v>9.6</v>
      </c>
      <c r="E14" s="52">
        <v>4.2</v>
      </c>
      <c r="F14" s="50">
        <v>17</v>
      </c>
      <c r="G14">
        <v>363</v>
      </c>
      <c r="H14">
        <v>1.2</v>
      </c>
      <c r="I14" s="52">
        <v>0.5</v>
      </c>
      <c r="J14" s="50">
        <v>24.7</v>
      </c>
      <c r="K14">
        <v>343</v>
      </c>
      <c r="L14">
        <v>93.7</v>
      </c>
      <c r="M14" s="52">
        <v>4.0999999999999996</v>
      </c>
      <c r="N14" s="50">
        <v>21</v>
      </c>
      <c r="O14">
        <v>400</v>
      </c>
      <c r="P14">
        <v>3.1</v>
      </c>
      <c r="Q14" s="52">
        <v>3.1</v>
      </c>
      <c r="R14" s="50">
        <v>20</v>
      </c>
      <c r="S14">
        <v>418.77499999999998</v>
      </c>
      <c r="T14">
        <v>0</v>
      </c>
      <c r="U14" s="52">
        <v>2</v>
      </c>
      <c r="V14" s="5" cm="1">
        <f t="array" ref="V14">T_Sky(S14)</f>
        <v>19.999965986391715</v>
      </c>
    </row>
    <row r="15" spans="1:24" ht="15" thickTop="1" x14ac:dyDescent="0.35">
      <c r="A15">
        <v>22</v>
      </c>
      <c r="B15" s="50">
        <v>22.8</v>
      </c>
      <c r="C15">
        <v>361</v>
      </c>
      <c r="D15">
        <v>0.04</v>
      </c>
      <c r="E15" s="52">
        <v>1.1000000000000001</v>
      </c>
      <c r="F15" s="50">
        <v>16.399999999999999</v>
      </c>
      <c r="G15">
        <v>358</v>
      </c>
      <c r="H15">
        <v>4.0000000000000001E-3</v>
      </c>
      <c r="I15">
        <v>0.3</v>
      </c>
      <c r="J15" s="93">
        <v>22.8</v>
      </c>
      <c r="K15" s="94">
        <v>340</v>
      </c>
      <c r="L15" s="94">
        <v>0.4</v>
      </c>
      <c r="M15" s="94">
        <v>4.5</v>
      </c>
      <c r="N15" s="94">
        <v>20.3</v>
      </c>
      <c r="O15" s="94">
        <v>398</v>
      </c>
      <c r="P15" s="94">
        <v>0.01</v>
      </c>
      <c r="Q15" s="95">
        <v>1.2</v>
      </c>
      <c r="R15">
        <v>20</v>
      </c>
      <c r="S15">
        <v>418.77499999999998</v>
      </c>
      <c r="T15">
        <v>0</v>
      </c>
      <c r="U15" s="52">
        <v>2</v>
      </c>
      <c r="V15" s="5" cm="1">
        <f t="array" ref="V15">T_Sky(S15)</f>
        <v>19.999965986391715</v>
      </c>
      <c r="W15">
        <v>20.3</v>
      </c>
      <c r="X15">
        <f>N15-W15</f>
        <v>0</v>
      </c>
    </row>
    <row r="16" spans="1:24" x14ac:dyDescent="0.35">
      <c r="A16">
        <v>23</v>
      </c>
      <c r="B16" s="50">
        <v>21.2</v>
      </c>
      <c r="C16">
        <v>357</v>
      </c>
      <c r="D16">
        <v>0</v>
      </c>
      <c r="E16" s="52">
        <v>1</v>
      </c>
      <c r="F16" s="50">
        <v>15.8</v>
      </c>
      <c r="G16">
        <v>353</v>
      </c>
      <c r="H16">
        <v>0</v>
      </c>
      <c r="I16">
        <v>1.1000000000000001</v>
      </c>
      <c r="J16" s="96">
        <v>20.7</v>
      </c>
      <c r="K16">
        <v>344</v>
      </c>
      <c r="L16">
        <v>0</v>
      </c>
      <c r="M16">
        <v>7.7</v>
      </c>
      <c r="N16">
        <v>19.5</v>
      </c>
      <c r="O16">
        <v>397</v>
      </c>
      <c r="P16">
        <v>0</v>
      </c>
      <c r="Q16" s="97">
        <v>0.2</v>
      </c>
      <c r="R16">
        <v>20</v>
      </c>
      <c r="S16">
        <v>418.77499999999998</v>
      </c>
      <c r="T16">
        <v>0</v>
      </c>
      <c r="U16" s="52">
        <v>2</v>
      </c>
      <c r="V16" s="5" cm="1">
        <f t="array" ref="V16">T_Sky(S16)</f>
        <v>19.999965986391715</v>
      </c>
      <c r="W16">
        <v>19.5</v>
      </c>
      <c r="X16">
        <f t="shared" ref="X16:X23" si="0">N16-W16</f>
        <v>0</v>
      </c>
    </row>
    <row r="17" spans="1:24" x14ac:dyDescent="0.35">
      <c r="A17">
        <v>24</v>
      </c>
      <c r="B17" s="50">
        <v>19.7</v>
      </c>
      <c r="C17">
        <v>354</v>
      </c>
      <c r="D17">
        <v>0</v>
      </c>
      <c r="E17" s="52">
        <v>1</v>
      </c>
      <c r="F17" s="50">
        <v>15.2</v>
      </c>
      <c r="G17">
        <v>347</v>
      </c>
      <c r="H17">
        <v>0</v>
      </c>
      <c r="I17">
        <v>1.5</v>
      </c>
      <c r="J17" s="96">
        <v>18.600000000000001</v>
      </c>
      <c r="K17">
        <v>342</v>
      </c>
      <c r="L17">
        <v>0</v>
      </c>
      <c r="M17">
        <v>4.5</v>
      </c>
      <c r="N17">
        <v>18.600000000000001</v>
      </c>
      <c r="O17">
        <v>392</v>
      </c>
      <c r="P17">
        <v>0</v>
      </c>
      <c r="Q17" s="97">
        <v>0.1</v>
      </c>
      <c r="R17">
        <v>20</v>
      </c>
      <c r="S17">
        <v>418.77499999999998</v>
      </c>
      <c r="T17">
        <v>0</v>
      </c>
      <c r="U17" s="52">
        <v>2</v>
      </c>
      <c r="V17" s="5" cm="1">
        <f t="array" ref="V17">T_Sky(S17)</f>
        <v>19.999965986391715</v>
      </c>
      <c r="W17">
        <v>18.600000000000001</v>
      </c>
      <c r="X17">
        <f t="shared" si="0"/>
        <v>0</v>
      </c>
    </row>
    <row r="18" spans="1:24" x14ac:dyDescent="0.35">
      <c r="A18">
        <v>1</v>
      </c>
      <c r="B18" s="50">
        <v>18.8</v>
      </c>
      <c r="C18">
        <v>346</v>
      </c>
      <c r="D18">
        <v>0</v>
      </c>
      <c r="E18" s="52">
        <v>4.5999999999999996</v>
      </c>
      <c r="F18" s="50">
        <v>16.399999999999999</v>
      </c>
      <c r="G18">
        <v>334</v>
      </c>
      <c r="H18">
        <v>0</v>
      </c>
      <c r="I18">
        <v>2.1</v>
      </c>
      <c r="J18" s="96">
        <v>18.600000000000001</v>
      </c>
      <c r="K18">
        <v>354</v>
      </c>
      <c r="L18">
        <v>0</v>
      </c>
      <c r="M18">
        <v>1.7</v>
      </c>
      <c r="N18">
        <v>18.899999999999999</v>
      </c>
      <c r="O18">
        <v>394</v>
      </c>
      <c r="P18">
        <v>0</v>
      </c>
      <c r="Q18" s="97">
        <v>2.1</v>
      </c>
      <c r="R18">
        <v>20</v>
      </c>
      <c r="S18">
        <v>418.77499999999998</v>
      </c>
      <c r="T18">
        <v>0</v>
      </c>
      <c r="U18" s="52">
        <v>2</v>
      </c>
      <c r="V18" s="5" cm="1">
        <f t="array" ref="V18">T_Sky(S18)</f>
        <v>19.999965986391715</v>
      </c>
      <c r="W18">
        <v>18.600000000000001</v>
      </c>
      <c r="X18">
        <f t="shared" si="0"/>
        <v>0.29999999999999716</v>
      </c>
    </row>
    <row r="19" spans="1:24" x14ac:dyDescent="0.35">
      <c r="A19">
        <v>2</v>
      </c>
      <c r="B19" s="50">
        <v>17.5</v>
      </c>
      <c r="C19">
        <v>344</v>
      </c>
      <c r="D19">
        <v>0</v>
      </c>
      <c r="E19" s="52">
        <v>2.2999999999999998</v>
      </c>
      <c r="F19" s="50">
        <v>15.9</v>
      </c>
      <c r="G19">
        <v>326</v>
      </c>
      <c r="H19">
        <v>0</v>
      </c>
      <c r="I19">
        <v>2.8</v>
      </c>
      <c r="J19" s="96">
        <v>17.100000000000001</v>
      </c>
      <c r="K19">
        <v>352</v>
      </c>
      <c r="L19">
        <v>0</v>
      </c>
      <c r="M19">
        <v>1.1000000000000001</v>
      </c>
      <c r="N19">
        <v>18.899999999999999</v>
      </c>
      <c r="O19">
        <v>392</v>
      </c>
      <c r="P19">
        <v>0</v>
      </c>
      <c r="Q19" s="97">
        <v>2.1</v>
      </c>
      <c r="R19">
        <v>20</v>
      </c>
      <c r="S19">
        <v>418.77499999999998</v>
      </c>
      <c r="T19">
        <v>0</v>
      </c>
      <c r="U19" s="52">
        <v>2</v>
      </c>
      <c r="V19" s="5" cm="1">
        <f t="array" ref="V19">T_Sky(S19)</f>
        <v>19.999965986391715</v>
      </c>
      <c r="W19">
        <v>18.899999999999999</v>
      </c>
      <c r="X19">
        <f t="shared" si="0"/>
        <v>0</v>
      </c>
    </row>
    <row r="20" spans="1:24" x14ac:dyDescent="0.35">
      <c r="A20">
        <v>3</v>
      </c>
      <c r="B20" s="50">
        <v>16.100000000000001</v>
      </c>
      <c r="C20">
        <v>341</v>
      </c>
      <c r="D20">
        <v>0</v>
      </c>
      <c r="E20" s="52">
        <v>1.3</v>
      </c>
      <c r="F20" s="50">
        <v>15.3</v>
      </c>
      <c r="G20">
        <v>325</v>
      </c>
      <c r="H20">
        <v>0</v>
      </c>
      <c r="I20">
        <v>1</v>
      </c>
      <c r="J20" s="96">
        <v>15.3</v>
      </c>
      <c r="K20">
        <v>341</v>
      </c>
      <c r="L20">
        <v>0</v>
      </c>
      <c r="M20">
        <v>0.4</v>
      </c>
      <c r="N20">
        <v>18.3</v>
      </c>
      <c r="O20">
        <v>389</v>
      </c>
      <c r="P20">
        <v>0</v>
      </c>
      <c r="Q20" s="97">
        <v>1.5</v>
      </c>
      <c r="R20">
        <v>20</v>
      </c>
      <c r="S20">
        <v>418.77499999999998</v>
      </c>
      <c r="T20">
        <v>0</v>
      </c>
      <c r="U20" s="52">
        <v>2</v>
      </c>
      <c r="V20" s="5" cm="1">
        <f t="array" ref="V20">T_Sky(S20)</f>
        <v>19.999965986391715</v>
      </c>
      <c r="W20">
        <v>18.899999999999999</v>
      </c>
      <c r="X20">
        <f t="shared" si="0"/>
        <v>-0.59999999999999787</v>
      </c>
    </row>
    <row r="21" spans="1:24" x14ac:dyDescent="0.35">
      <c r="A21">
        <v>4</v>
      </c>
      <c r="B21" s="50">
        <v>15.4</v>
      </c>
      <c r="C21">
        <v>337</v>
      </c>
      <c r="D21">
        <v>0</v>
      </c>
      <c r="E21" s="52">
        <v>3.5</v>
      </c>
      <c r="F21" s="50">
        <v>15</v>
      </c>
      <c r="G21">
        <v>321</v>
      </c>
      <c r="H21">
        <v>0</v>
      </c>
      <c r="I21">
        <v>0.2</v>
      </c>
      <c r="J21" s="96">
        <v>14.3</v>
      </c>
      <c r="K21">
        <v>337</v>
      </c>
      <c r="L21">
        <v>0</v>
      </c>
      <c r="M21">
        <v>1.9</v>
      </c>
      <c r="N21">
        <v>18.8</v>
      </c>
      <c r="O21">
        <v>393</v>
      </c>
      <c r="P21">
        <v>0</v>
      </c>
      <c r="Q21" s="97">
        <v>0.8</v>
      </c>
      <c r="R21">
        <v>20</v>
      </c>
      <c r="S21">
        <v>418.77499999999998</v>
      </c>
      <c r="T21">
        <v>0</v>
      </c>
      <c r="U21" s="52">
        <v>2</v>
      </c>
      <c r="V21" s="5" cm="1">
        <f t="array" ref="V21">T_Sky(S21)</f>
        <v>19.999965986391715</v>
      </c>
      <c r="W21">
        <v>18.3</v>
      </c>
      <c r="X21">
        <f t="shared" si="0"/>
        <v>0.5</v>
      </c>
    </row>
    <row r="22" spans="1:24" x14ac:dyDescent="0.35">
      <c r="A22">
        <v>5</v>
      </c>
      <c r="B22" s="50">
        <v>14.9</v>
      </c>
      <c r="C22">
        <v>334</v>
      </c>
      <c r="D22">
        <v>0</v>
      </c>
      <c r="E22" s="52">
        <v>6.1</v>
      </c>
      <c r="F22" s="50">
        <v>14.7</v>
      </c>
      <c r="G22">
        <v>326</v>
      </c>
      <c r="H22">
        <v>0</v>
      </c>
      <c r="I22">
        <v>0.1</v>
      </c>
      <c r="J22" s="96">
        <v>13.5</v>
      </c>
      <c r="K22">
        <v>335</v>
      </c>
      <c r="L22">
        <v>0</v>
      </c>
      <c r="M22">
        <v>0.5</v>
      </c>
      <c r="N22">
        <v>19.100000000000001</v>
      </c>
      <c r="O22">
        <v>394</v>
      </c>
      <c r="P22">
        <v>0</v>
      </c>
      <c r="Q22" s="97">
        <v>0.5</v>
      </c>
      <c r="R22">
        <v>20</v>
      </c>
      <c r="S22">
        <v>418.77499999999998</v>
      </c>
      <c r="T22">
        <v>0</v>
      </c>
      <c r="U22" s="52">
        <v>2</v>
      </c>
      <c r="V22" s="5" cm="1">
        <f t="array" ref="V22">T_Sky(S22)</f>
        <v>19.999965986391715</v>
      </c>
      <c r="W22">
        <v>18.8</v>
      </c>
      <c r="X22">
        <f t="shared" si="0"/>
        <v>0.30000000000000071</v>
      </c>
    </row>
    <row r="23" spans="1:24" ht="15" thickBot="1" x14ac:dyDescent="0.4">
      <c r="A23">
        <v>6</v>
      </c>
      <c r="B23" s="50">
        <v>14.9</v>
      </c>
      <c r="C23">
        <v>339</v>
      </c>
      <c r="D23">
        <v>0</v>
      </c>
      <c r="E23" s="52">
        <v>7</v>
      </c>
      <c r="F23" s="50">
        <v>14.3</v>
      </c>
      <c r="G23">
        <v>339</v>
      </c>
      <c r="H23">
        <v>0</v>
      </c>
      <c r="I23">
        <v>0.1</v>
      </c>
      <c r="J23" s="98">
        <v>13.3</v>
      </c>
      <c r="K23" s="99">
        <v>331</v>
      </c>
      <c r="L23" s="99">
        <v>1</v>
      </c>
      <c r="M23" s="99">
        <v>1.1000000000000001</v>
      </c>
      <c r="N23" s="99">
        <v>19.100000000000001</v>
      </c>
      <c r="O23" s="99">
        <v>394</v>
      </c>
      <c r="P23" s="99">
        <v>0</v>
      </c>
      <c r="Q23" s="100">
        <v>0.7</v>
      </c>
      <c r="R23">
        <v>20</v>
      </c>
      <c r="S23">
        <v>418.77499999999998</v>
      </c>
      <c r="T23">
        <v>0</v>
      </c>
      <c r="U23" s="52">
        <v>2</v>
      </c>
      <c r="V23" s="5" cm="1">
        <f t="array" ref="V23">T_Sky(S23)</f>
        <v>19.999965986391715</v>
      </c>
      <c r="W23">
        <v>19.100000000000001</v>
      </c>
      <c r="X23">
        <f t="shared" si="0"/>
        <v>0</v>
      </c>
    </row>
    <row r="24" spans="1:24" ht="15" thickTop="1" x14ac:dyDescent="0.35">
      <c r="A24">
        <v>7</v>
      </c>
      <c r="B24" s="50">
        <v>15.5</v>
      </c>
      <c r="C24">
        <v>340</v>
      </c>
      <c r="D24">
        <v>52.8</v>
      </c>
      <c r="E24" s="52">
        <v>6.1</v>
      </c>
      <c r="F24" s="50">
        <v>14.4</v>
      </c>
      <c r="G24">
        <v>349</v>
      </c>
      <c r="H24">
        <v>4</v>
      </c>
      <c r="I24">
        <v>0.3</v>
      </c>
      <c r="J24">
        <v>14.4</v>
      </c>
      <c r="K24">
        <v>329</v>
      </c>
      <c r="L24">
        <v>93.6</v>
      </c>
      <c r="M24">
        <v>2.4</v>
      </c>
      <c r="N24">
        <v>18.899999999999999</v>
      </c>
      <c r="O24">
        <v>394</v>
      </c>
      <c r="P24">
        <v>4</v>
      </c>
      <c r="Q24">
        <v>1.4</v>
      </c>
      <c r="R24">
        <v>20</v>
      </c>
      <c r="S24">
        <v>418.77499999999998</v>
      </c>
      <c r="T24">
        <v>0</v>
      </c>
      <c r="U24" s="52">
        <v>2</v>
      </c>
      <c r="V24" s="5" cm="1">
        <f t="array" ref="V24">T_Sky(S24)</f>
        <v>19.999965986391715</v>
      </c>
      <c r="W24">
        <v>19.100000000000001</v>
      </c>
    </row>
    <row r="25" spans="1:24" x14ac:dyDescent="0.35">
      <c r="A25">
        <v>8</v>
      </c>
      <c r="B25" s="50">
        <v>16.8</v>
      </c>
      <c r="C25">
        <v>343</v>
      </c>
      <c r="D25">
        <v>192</v>
      </c>
      <c r="E25" s="52">
        <v>3.5</v>
      </c>
      <c r="F25" s="50">
        <v>15</v>
      </c>
      <c r="G25">
        <v>353</v>
      </c>
      <c r="H25">
        <v>50.8</v>
      </c>
      <c r="I25" s="52">
        <v>1.1000000000000001</v>
      </c>
      <c r="J25" s="50">
        <v>16.2</v>
      </c>
      <c r="K25">
        <v>327</v>
      </c>
      <c r="L25">
        <v>257</v>
      </c>
      <c r="M25" s="52">
        <v>0.4</v>
      </c>
      <c r="N25" s="50">
        <v>19.399999999999999</v>
      </c>
      <c r="O25">
        <v>397</v>
      </c>
      <c r="P25">
        <v>33.9</v>
      </c>
      <c r="Q25" s="52">
        <v>0.7</v>
      </c>
      <c r="R25" s="50">
        <v>20</v>
      </c>
      <c r="S25">
        <v>418.77499999999998</v>
      </c>
      <c r="T25">
        <v>0</v>
      </c>
      <c r="U25" s="52">
        <v>2</v>
      </c>
      <c r="V25" s="5" cm="1">
        <f t="array" ref="V25">T_Sky(S25)</f>
        <v>19.999965986391715</v>
      </c>
    </row>
    <row r="26" spans="1:24" x14ac:dyDescent="0.35">
      <c r="A26">
        <v>9</v>
      </c>
      <c r="B26" s="50">
        <v>18.5</v>
      </c>
      <c r="C26">
        <v>343</v>
      </c>
      <c r="D26">
        <v>358</v>
      </c>
      <c r="E26" s="52">
        <v>3.8</v>
      </c>
      <c r="F26" s="50">
        <v>15.5</v>
      </c>
      <c r="G26">
        <v>354</v>
      </c>
      <c r="H26">
        <v>109</v>
      </c>
      <c r="I26" s="52">
        <v>0.8</v>
      </c>
      <c r="J26" s="50">
        <v>18.2</v>
      </c>
      <c r="K26">
        <v>325</v>
      </c>
      <c r="L26">
        <v>444</v>
      </c>
      <c r="M26" s="52">
        <v>1.5</v>
      </c>
      <c r="N26" s="50">
        <v>20</v>
      </c>
      <c r="O26">
        <v>399</v>
      </c>
      <c r="P26">
        <v>63.9</v>
      </c>
      <c r="Q26" s="52">
        <v>0.8</v>
      </c>
      <c r="R26" s="50">
        <v>20</v>
      </c>
      <c r="S26">
        <v>418.77499999999998</v>
      </c>
      <c r="T26">
        <v>0</v>
      </c>
      <c r="U26" s="52">
        <v>2</v>
      </c>
      <c r="V26" s="5" cm="1">
        <f t="array" ref="V26">T_Sky(S26)</f>
        <v>19.999965986391715</v>
      </c>
    </row>
    <row r="27" spans="1:24" x14ac:dyDescent="0.35">
      <c r="A27">
        <v>10</v>
      </c>
      <c r="B27" s="50">
        <v>20.3</v>
      </c>
      <c r="C27">
        <v>342</v>
      </c>
      <c r="D27">
        <v>522</v>
      </c>
      <c r="E27" s="52">
        <v>2.5</v>
      </c>
      <c r="F27" s="50">
        <v>16.2</v>
      </c>
      <c r="G27">
        <v>355</v>
      </c>
      <c r="H27">
        <v>184</v>
      </c>
      <c r="I27" s="52">
        <v>2.2999999999999998</v>
      </c>
      <c r="J27" s="50">
        <v>20.399999999999999</v>
      </c>
      <c r="K27">
        <v>319</v>
      </c>
      <c r="L27">
        <v>626</v>
      </c>
      <c r="M27" s="52">
        <v>2.9</v>
      </c>
      <c r="N27" s="50">
        <v>20.399999999999999</v>
      </c>
      <c r="O27">
        <v>401</v>
      </c>
      <c r="P27">
        <v>103</v>
      </c>
      <c r="Q27" s="52">
        <v>4.8</v>
      </c>
      <c r="R27" s="50">
        <v>20</v>
      </c>
      <c r="S27">
        <v>418.77499999999998</v>
      </c>
      <c r="T27">
        <v>0</v>
      </c>
      <c r="U27" s="52">
        <v>2</v>
      </c>
      <c r="V27" s="5" cm="1">
        <f t="array" ref="V27">T_Sky(S27)</f>
        <v>19.999965986391715</v>
      </c>
    </row>
    <row r="28" spans="1:24" x14ac:dyDescent="0.35">
      <c r="A28">
        <v>11</v>
      </c>
      <c r="B28" s="50">
        <v>22.1</v>
      </c>
      <c r="C28">
        <v>339</v>
      </c>
      <c r="D28">
        <v>665</v>
      </c>
      <c r="E28" s="52">
        <v>3.8</v>
      </c>
      <c r="F28" s="50">
        <v>16.8</v>
      </c>
      <c r="G28">
        <v>359</v>
      </c>
      <c r="H28">
        <v>227</v>
      </c>
      <c r="I28" s="52">
        <v>4.2</v>
      </c>
      <c r="J28" s="50">
        <v>22.5</v>
      </c>
      <c r="K28">
        <v>323</v>
      </c>
      <c r="L28">
        <v>785</v>
      </c>
      <c r="M28" s="52">
        <v>5.8</v>
      </c>
      <c r="N28" s="50">
        <v>21</v>
      </c>
      <c r="O28">
        <v>403</v>
      </c>
      <c r="P28">
        <v>133</v>
      </c>
      <c r="Q28" s="52">
        <v>2.4</v>
      </c>
      <c r="R28" s="50">
        <v>20</v>
      </c>
      <c r="S28">
        <v>418.77499999999998</v>
      </c>
      <c r="T28">
        <v>0</v>
      </c>
      <c r="U28" s="52">
        <v>2</v>
      </c>
      <c r="V28" s="5" cm="1">
        <f t="array" ref="V28">T_Sky(S28)</f>
        <v>19.999965986391715</v>
      </c>
    </row>
    <row r="30" spans="1:24" x14ac:dyDescent="0.35">
      <c r="A30" t="s">
        <v>403</v>
      </c>
    </row>
    <row r="31" spans="1:24" x14ac:dyDescent="0.35">
      <c r="A31" s="50" t="s">
        <v>398</v>
      </c>
    </row>
    <row r="32" spans="1:24" x14ac:dyDescent="0.35">
      <c r="A32" s="50" t="s">
        <v>399</v>
      </c>
    </row>
    <row r="33" spans="1:1" x14ac:dyDescent="0.35">
      <c r="A33" s="50" t="s">
        <v>318</v>
      </c>
    </row>
    <row r="34" spans="1:1" x14ac:dyDescent="0.35">
      <c r="A34" s="50" t="s">
        <v>400</v>
      </c>
    </row>
    <row r="35" spans="1:1" x14ac:dyDescent="0.35">
      <c r="A35" t="s">
        <v>405</v>
      </c>
    </row>
  </sheetData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2D078-258C-4B48-A32E-FBB82841DA7E}">
  <sheetPr codeName="Sheet7"/>
  <dimension ref="A1:K22"/>
  <sheetViews>
    <sheetView workbookViewId="0">
      <selection sqref="A1:XFD1048576"/>
    </sheetView>
  </sheetViews>
  <sheetFormatPr defaultColWidth="8.7265625" defaultRowHeight="14.5" x14ac:dyDescent="0.35"/>
  <sheetData>
    <row r="1" spans="1:11" x14ac:dyDescent="0.35">
      <c r="B1">
        <v>1</v>
      </c>
      <c r="C1">
        <v>1.9991666666666668</v>
      </c>
      <c r="D1">
        <v>2.9983333333333335</v>
      </c>
      <c r="E1">
        <v>3.9975000000000001</v>
      </c>
      <c r="F1">
        <v>4.996666666666667</v>
      </c>
      <c r="G1">
        <v>5.9958333333333336</v>
      </c>
      <c r="H1">
        <v>6.9950000000000001</v>
      </c>
      <c r="I1">
        <v>7.9941666666666666</v>
      </c>
      <c r="J1">
        <v>8.9933333333333341</v>
      </c>
      <c r="K1">
        <v>9.9924999999999997</v>
      </c>
    </row>
    <row r="2" spans="1:11" x14ac:dyDescent="0.35">
      <c r="A2">
        <v>0</v>
      </c>
      <c r="B2">
        <v>26</v>
      </c>
      <c r="C2">
        <v>25.483364983327302</v>
      </c>
      <c r="D2">
        <v>25.281017656986876</v>
      </c>
      <c r="E2">
        <v>25.126733614846327</v>
      </c>
      <c r="F2">
        <v>24.99502650719301</v>
      </c>
      <c r="G2">
        <v>24.875690327572762</v>
      </c>
      <c r="H2">
        <v>24.763687475844421</v>
      </c>
      <c r="I2">
        <v>24.656428266080916</v>
      </c>
      <c r="J2">
        <v>24.552570879774297</v>
      </c>
      <c r="K2">
        <v>24.451417188210467</v>
      </c>
    </row>
    <row r="3" spans="1:11" x14ac:dyDescent="0.35">
      <c r="A3">
        <v>1.2500000000000001E-2</v>
      </c>
      <c r="B3">
        <v>26</v>
      </c>
      <c r="C3">
        <v>25.569988824624421</v>
      </c>
      <c r="D3">
        <v>25.367688288781672</v>
      </c>
      <c r="E3">
        <v>25.21338608832696</v>
      </c>
      <c r="F3">
        <v>25.081609303678782</v>
      </c>
      <c r="G3">
        <v>24.962086729663262</v>
      </c>
      <c r="H3">
        <v>24.84975323239453</v>
      </c>
      <c r="I3">
        <v>24.742015786602998</v>
      </c>
      <c r="J3">
        <v>24.637541016103871</v>
      </c>
      <c r="K3">
        <v>24.535644229131044</v>
      </c>
    </row>
    <row r="4" spans="1:11" x14ac:dyDescent="0.35">
      <c r="A4">
        <v>2.5000000000000001E-2</v>
      </c>
      <c r="B4">
        <v>26</v>
      </c>
      <c r="C4">
        <v>25.647090784834887</v>
      </c>
      <c r="D4">
        <v>25.447731500967087</v>
      </c>
      <c r="E4">
        <v>25.294604537845977</v>
      </c>
      <c r="F4">
        <v>25.163381128310331</v>
      </c>
      <c r="G4">
        <v>25.044025450182861</v>
      </c>
      <c r="H4">
        <v>24.931577468284999</v>
      </c>
      <c r="I4">
        <v>24.823507478854054</v>
      </c>
      <c r="J4">
        <v>24.718524829252047</v>
      </c>
      <c r="K4">
        <v>24.615975914166871</v>
      </c>
    </row>
    <row r="5" spans="1:11" x14ac:dyDescent="0.35">
      <c r="A5">
        <v>3.7500000000000006E-2</v>
      </c>
      <c r="B5">
        <v>26</v>
      </c>
      <c r="C5">
        <v>25.714140208498485</v>
      </c>
      <c r="D5">
        <v>25.520692445400893</v>
      </c>
      <c r="E5">
        <v>25.36999247740539</v>
      </c>
      <c r="F5">
        <v>25.239975690910622</v>
      </c>
      <c r="G5">
        <v>25.121155104365304</v>
      </c>
      <c r="H5">
        <v>25.008816175259842</v>
      </c>
      <c r="I5">
        <v>24.900563245026365</v>
      </c>
      <c r="J5">
        <v>24.79518472517551</v>
      </c>
      <c r="K5">
        <v>24.692076764125666</v>
      </c>
    </row>
    <row r="6" spans="1:11" x14ac:dyDescent="0.35">
      <c r="A6">
        <v>0.05</v>
      </c>
      <c r="B6">
        <v>26</v>
      </c>
      <c r="C6">
        <v>25.771572223060538</v>
      </c>
      <c r="D6">
        <v>25.586714214069879</v>
      </c>
      <c r="E6">
        <v>25.439619791157547</v>
      </c>
      <c r="F6">
        <v>25.311426967095123</v>
      </c>
      <c r="G6">
        <v>25.193487891437318</v>
      </c>
      <c r="H6">
        <v>25.081467102133455</v>
      </c>
      <c r="I6">
        <v>24.973170579738191</v>
      </c>
      <c r="J6">
        <v>24.86750050604066</v>
      </c>
      <c r="K6">
        <v>24.763920561051162</v>
      </c>
    </row>
    <row r="7" spans="1:11" x14ac:dyDescent="0.35">
      <c r="A7">
        <v>6.25E-2</v>
      </c>
      <c r="B7">
        <v>26</v>
      </c>
      <c r="C7">
        <v>25.820003877950374</v>
      </c>
      <c r="D7">
        <v>25.646008612474464</v>
      </c>
      <c r="E7">
        <v>25.503590820824247</v>
      </c>
      <c r="F7">
        <v>25.377787740383663</v>
      </c>
      <c r="G7">
        <v>25.26104695023087</v>
      </c>
      <c r="H7">
        <v>25.149534932968376</v>
      </c>
      <c r="I7">
        <v>25.041321888870122</v>
      </c>
      <c r="J7">
        <v>24.935455878054501</v>
      </c>
      <c r="K7">
        <v>24.83148450257244</v>
      </c>
    </row>
    <row r="8" spans="1:11" x14ac:dyDescent="0.35">
      <c r="A8">
        <v>7.5000000000000011E-2</v>
      </c>
      <c r="B8">
        <v>26</v>
      </c>
      <c r="C8">
        <v>25.8601951620821</v>
      </c>
      <c r="D8">
        <v>25.698849138596387</v>
      </c>
      <c r="E8">
        <v>25.562041470708262</v>
      </c>
      <c r="F8">
        <v>25.4391280189894</v>
      </c>
      <c r="G8">
        <v>25.323865404301031</v>
      </c>
      <c r="H8">
        <v>25.213030670759267</v>
      </c>
      <c r="I8">
        <v>25.10501406514507</v>
      </c>
      <c r="J8">
        <v>24.999038141400071</v>
      </c>
      <c r="K8">
        <v>24.89474896428553</v>
      </c>
    </row>
    <row r="9" spans="1:11" x14ac:dyDescent="0.35">
      <c r="A9">
        <v>8.7500000000000008E-2</v>
      </c>
      <c r="B9">
        <v>26</v>
      </c>
      <c r="C9">
        <v>25.893004314837743</v>
      </c>
      <c r="D9">
        <v>25.745562099158647</v>
      </c>
      <c r="E9">
        <v>25.615135481777834</v>
      </c>
      <c r="F9">
        <v>25.495533037303453</v>
      </c>
      <c r="G9">
        <v>25.381985196246838</v>
      </c>
      <c r="H9">
        <v>25.271970914967568</v>
      </c>
      <c r="I9">
        <v>25.164248011275347</v>
      </c>
      <c r="J9">
        <v>25.058237855146483</v>
      </c>
      <c r="K9">
        <v>24.953697250918836</v>
      </c>
    </row>
    <row r="10" spans="1:11" x14ac:dyDescent="0.35">
      <c r="A10">
        <v>0.1</v>
      </c>
      <c r="B10">
        <v>26</v>
      </c>
      <c r="C10">
        <v>25.919341652224727</v>
      </c>
      <c r="D10">
        <v>25.786516279457526</v>
      </c>
      <c r="E10">
        <v>25.663059982825999</v>
      </c>
      <c r="F10">
        <v>25.547100889682326</v>
      </c>
      <c r="G10">
        <v>25.43545573593693</v>
      </c>
      <c r="H10">
        <v>25.326377046374557</v>
      </c>
      <c r="I10">
        <v>25.219028118296176</v>
      </c>
      <c r="J10">
        <v>25.113048481649685</v>
      </c>
      <c r="K10">
        <v>25.008315339123151</v>
      </c>
    </row>
    <row r="11" spans="1:11" x14ac:dyDescent="0.35">
      <c r="A11">
        <v>0.1125</v>
      </c>
      <c r="B11">
        <v>26</v>
      </c>
      <c r="C11">
        <v>25.94012582201956</v>
      </c>
      <c r="D11">
        <v>25.82211162579717</v>
      </c>
      <c r="E11">
        <v>25.706020447161546</v>
      </c>
      <c r="F11">
        <v>25.593939854505347</v>
      </c>
      <c r="G11">
        <v>25.484332392670197</v>
      </c>
      <c r="H11">
        <v>25.376274335458422</v>
      </c>
      <c r="I11">
        <v>25.269361708101883</v>
      </c>
      <c r="J11">
        <v>25.163466015663602</v>
      </c>
      <c r="K11">
        <v>25.05859161507356</v>
      </c>
    </row>
    <row r="12" spans="1:11" x14ac:dyDescent="0.35">
      <c r="A12">
        <v>0.125</v>
      </c>
      <c r="B12">
        <v>26</v>
      </c>
      <c r="C12">
        <v>25.956245657695579</v>
      </c>
      <c r="D12">
        <v>25.852767410539418</v>
      </c>
      <c r="E12">
        <v>25.74423519864564</v>
      </c>
      <c r="F12">
        <v>25.636165475149674</v>
      </c>
      <c r="G12">
        <v>25.528674865838862</v>
      </c>
      <c r="H12">
        <v>25.421690992831348</v>
      </c>
      <c r="I12">
        <v>25.315258450384476</v>
      </c>
      <c r="J12">
        <v>25.209488603971781</v>
      </c>
      <c r="K12">
        <v>25.104516610355361</v>
      </c>
    </row>
    <row r="13" spans="1:11" x14ac:dyDescent="0.35">
      <c r="A13">
        <v>0.13750000000000001</v>
      </c>
      <c r="B13">
        <v>26</v>
      </c>
      <c r="C13">
        <v>25.968529779213601</v>
      </c>
      <c r="D13">
        <v>25.87891033061813</v>
      </c>
      <c r="E13">
        <v>25.777929620854326</v>
      </c>
      <c r="F13">
        <v>25.673897471302688</v>
      </c>
      <c r="G13">
        <v>25.568545472283358</v>
      </c>
      <c r="H13">
        <v>25.462657182131945</v>
      </c>
      <c r="I13">
        <v>25.356729765110202</v>
      </c>
      <c r="J13">
        <v>25.251116161808753</v>
      </c>
      <c r="K13">
        <v>25.146082739821026</v>
      </c>
    </row>
    <row r="14" spans="1:11" x14ac:dyDescent="0.35">
      <c r="A14">
        <v>0.15000000000000002</v>
      </c>
      <c r="B14">
        <v>26</v>
      </c>
      <c r="C14">
        <v>25.97772496823081</v>
      </c>
      <c r="D14">
        <v>25.900962945275285</v>
      </c>
      <c r="E14">
        <v>25.807330227729569</v>
      </c>
      <c r="F14">
        <v>25.707256558733643</v>
      </c>
      <c r="G14">
        <v>25.604007391135266</v>
      </c>
      <c r="H14">
        <v>25.499204017102649</v>
      </c>
      <c r="I14">
        <v>25.393788222331207</v>
      </c>
      <c r="J14">
        <v>25.288349992654588</v>
      </c>
      <c r="K14">
        <v>25.183284045242374</v>
      </c>
    </row>
    <row r="15" spans="1:11" x14ac:dyDescent="0.35">
      <c r="A15">
        <v>0.16250000000000001</v>
      </c>
      <c r="B15">
        <v>26</v>
      </c>
      <c r="C15">
        <v>25.984483290979622</v>
      </c>
      <c r="D15">
        <v>25.91933279401615</v>
      </c>
      <c r="E15">
        <v>25.832658753558313</v>
      </c>
      <c r="F15">
        <v>25.736361258182136</v>
      </c>
      <c r="G15">
        <v>25.635122908467142</v>
      </c>
      <c r="H15">
        <v>25.531362565354126</v>
      </c>
      <c r="I15">
        <v>25.426446951496555</v>
      </c>
      <c r="J15">
        <v>25.321192418145433</v>
      </c>
      <c r="K15">
        <v>25.216115948636752</v>
      </c>
    </row>
    <row r="16" spans="1:11" x14ac:dyDescent="0.35">
      <c r="A16">
        <v>0.17500000000000002</v>
      </c>
      <c r="B16">
        <v>26</v>
      </c>
      <c r="C16">
        <v>25.989357079084233</v>
      </c>
      <c r="D16">
        <v>25.934402458923106</v>
      </c>
      <c r="E16">
        <v>25.854126414990418</v>
      </c>
      <c r="F16">
        <v>25.761324774362016</v>
      </c>
      <c r="G16">
        <v>25.661951704465224</v>
      </c>
      <c r="H16">
        <v>25.559162881505564</v>
      </c>
      <c r="I16">
        <v>25.454719072487812</v>
      </c>
      <c r="J16">
        <v>25.349646424840568</v>
      </c>
      <c r="K16">
        <v>25.244575019115068</v>
      </c>
    </row>
    <row r="17" spans="1:11" x14ac:dyDescent="0.35">
      <c r="A17">
        <v>0.1875</v>
      </c>
      <c r="B17">
        <v>26</v>
      </c>
      <c r="C17">
        <v>25.992800278383076</v>
      </c>
      <c r="D17">
        <v>25.946520754572241</v>
      </c>
      <c r="E17">
        <v>25.871928488732006</v>
      </c>
      <c r="F17">
        <v>25.782252024258668</v>
      </c>
      <c r="G17">
        <v>25.684549225103744</v>
      </c>
      <c r="H17">
        <v>25.582633091983958</v>
      </c>
      <c r="I17">
        <v>25.478617160355292</v>
      </c>
      <c r="J17">
        <v>25.373715334421789</v>
      </c>
      <c r="K17">
        <v>25.268658756982251</v>
      </c>
    </row>
    <row r="18" spans="1:11" x14ac:dyDescent="0.35">
      <c r="A18">
        <v>0.2</v>
      </c>
      <c r="B18">
        <v>26</v>
      </c>
      <c r="C18">
        <v>25.995174355449524</v>
      </c>
      <c r="D18">
        <v>25.955995151584187</v>
      </c>
      <c r="E18">
        <v>25.886239336278255</v>
      </c>
      <c r="F18">
        <v>25.79923689000692</v>
      </c>
      <c r="G18">
        <v>25.702965178449297</v>
      </c>
      <c r="H18">
        <v>25.601798552776525</v>
      </c>
      <c r="I18">
        <v>25.49815275517679</v>
      </c>
      <c r="J18">
        <v>25.393402503575494</v>
      </c>
      <c r="K18">
        <v>25.288365398618392</v>
      </c>
    </row>
    <row r="19" spans="1:11" x14ac:dyDescent="0.35">
      <c r="A19">
        <v>0.21250000000000002</v>
      </c>
      <c r="B19">
        <v>26</v>
      </c>
      <c r="C19">
        <v>25.996756883308382</v>
      </c>
      <c r="D19">
        <v>25.963085472956006</v>
      </c>
      <c r="E19">
        <v>25.897207992344004</v>
      </c>
      <c r="F19">
        <v>25.812359765816709</v>
      </c>
      <c r="G19">
        <v>25.717242192810751</v>
      </c>
      <c r="H19">
        <v>25.616681099882669</v>
      </c>
      <c r="I19">
        <v>25.513335927613923</v>
      </c>
      <c r="J19">
        <v>25.408711059329146</v>
      </c>
      <c r="K19">
        <v>25.303693745385662</v>
      </c>
    </row>
    <row r="20" spans="1:11" x14ac:dyDescent="0.35">
      <c r="A20">
        <v>0.22500000000000001</v>
      </c>
      <c r="B20">
        <v>26</v>
      </c>
      <c r="C20">
        <v>25.997751055624278</v>
      </c>
      <c r="D20">
        <v>25.96799885073878</v>
      </c>
      <c r="E20">
        <v>25.904954417229128</v>
      </c>
      <c r="F20">
        <v>25.821685460848116</v>
      </c>
      <c r="G20">
        <v>25.727414670054472</v>
      </c>
      <c r="H20">
        <v>25.627298410144782</v>
      </c>
      <c r="I20">
        <v>25.524174909622854</v>
      </c>
      <c r="J20">
        <v>25.419643674992528</v>
      </c>
      <c r="K20">
        <v>25.314643019447271</v>
      </c>
    </row>
    <row r="21" spans="1:11" x14ac:dyDescent="0.35">
      <c r="A21">
        <v>0.23750000000000002</v>
      </c>
      <c r="B21">
        <v>26</v>
      </c>
      <c r="C21">
        <v>25.998294635464173</v>
      </c>
      <c r="D21">
        <v>25.97088589726236</v>
      </c>
      <c r="E21">
        <v>25.909566495836973</v>
      </c>
      <c r="F21">
        <v>25.827261510845158</v>
      </c>
      <c r="G21">
        <v>25.733507862629711</v>
      </c>
      <c r="H21">
        <v>25.63366348760561</v>
      </c>
      <c r="I21">
        <v>25.530675798414155</v>
      </c>
      <c r="J21">
        <v>25.426202391105043</v>
      </c>
      <c r="K21">
        <v>25.321212748959038</v>
      </c>
    </row>
    <row r="22" spans="1:11" x14ac:dyDescent="0.35">
      <c r="A22">
        <v>0.25</v>
      </c>
      <c r="B22">
        <v>26</v>
      </c>
      <c r="C22">
        <v>25.998467168568077</v>
      </c>
      <c r="D22">
        <v>25.971838030645301</v>
      </c>
      <c r="E22">
        <v>25.911097847934197</v>
      </c>
      <c r="F22">
        <v>25.829116940964301</v>
      </c>
      <c r="G22">
        <v>25.735537197323065</v>
      </c>
      <c r="H22">
        <v>25.635784287608693</v>
      </c>
      <c r="I22">
        <v>25.532842340185859</v>
      </c>
      <c r="J22">
        <v>25.428388484931908</v>
      </c>
      <c r="K22">
        <v>25.323402684610095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F2070-AE51-4A4D-B50A-7A71A3165BE4}">
  <sheetPr codeName="Sheet8"/>
  <dimension ref="A1:K12"/>
  <sheetViews>
    <sheetView workbookViewId="0">
      <selection sqref="A1:XFD1048576"/>
    </sheetView>
  </sheetViews>
  <sheetFormatPr defaultColWidth="8.7265625" defaultRowHeight="14.5" x14ac:dyDescent="0.35"/>
  <sheetData>
    <row r="1" spans="1:11" x14ac:dyDescent="0.35">
      <c r="B1">
        <v>1</v>
      </c>
      <c r="C1">
        <v>1.9991666666666668</v>
      </c>
      <c r="D1">
        <v>2.9983333333333335</v>
      </c>
      <c r="E1">
        <v>3.9975000000000001</v>
      </c>
      <c r="F1">
        <v>4.996666666666667</v>
      </c>
      <c r="G1">
        <v>5.9958333333333336</v>
      </c>
      <c r="H1">
        <v>6.9950000000000001</v>
      </c>
      <c r="I1">
        <v>7.9941666666666666</v>
      </c>
      <c r="J1">
        <v>8.9933333333333341</v>
      </c>
      <c r="K1">
        <v>9.9924999999999997</v>
      </c>
    </row>
    <row r="2" spans="1:11" x14ac:dyDescent="0.35">
      <c r="A2">
        <v>0</v>
      </c>
      <c r="B2">
        <v>26</v>
      </c>
      <c r="C2">
        <v>25.433093440304262</v>
      </c>
      <c r="D2">
        <v>25.012518331335944</v>
      </c>
      <c r="E2">
        <v>24.633509345104947</v>
      </c>
      <c r="F2">
        <v>24.292287252772546</v>
      </c>
      <c r="G2">
        <v>23.985084791108488</v>
      </c>
      <c r="H2">
        <v>23.708360619683944</v>
      </c>
      <c r="I2">
        <v>23.458871047996713</v>
      </c>
      <c r="J2">
        <v>23.233685404178111</v>
      </c>
      <c r="K2">
        <v>23.030175839508132</v>
      </c>
    </row>
    <row r="3" spans="1:11" x14ac:dyDescent="0.35">
      <c r="A3">
        <v>4.0000000000000001E-3</v>
      </c>
      <c r="B3">
        <v>26</v>
      </c>
      <c r="C3">
        <v>25.459787105115783</v>
      </c>
      <c r="D3">
        <v>25.036627550038748</v>
      </c>
      <c r="E3">
        <v>24.655227477602239</v>
      </c>
      <c r="F3">
        <v>24.311838723975448</v>
      </c>
      <c r="G3">
        <v>24.00268876237693</v>
      </c>
      <c r="H3">
        <v>23.724221327123804</v>
      </c>
      <c r="I3">
        <v>23.473174723495049</v>
      </c>
      <c r="J3">
        <v>23.246599892492096</v>
      </c>
      <c r="K3">
        <v>23.041851433723306</v>
      </c>
    </row>
    <row r="4" spans="1:11" x14ac:dyDescent="0.35">
      <c r="A4">
        <v>8.0000000000000002E-3</v>
      </c>
      <c r="B4">
        <v>26</v>
      </c>
      <c r="C4">
        <v>25.484930086531357</v>
      </c>
      <c r="D4">
        <v>25.05933718214893</v>
      </c>
      <c r="E4">
        <v>24.675685052780345</v>
      </c>
      <c r="F4">
        <v>24.330255422877833</v>
      </c>
      <c r="G4">
        <v>24.019270938805146</v>
      </c>
      <c r="H4">
        <v>23.739161329101876</v>
      </c>
      <c r="I4">
        <v>23.486647965050306</v>
      </c>
      <c r="J4">
        <v>23.258764479652111</v>
      </c>
      <c r="K4">
        <v>23.052848944783783</v>
      </c>
    </row>
    <row r="5" spans="1:11" x14ac:dyDescent="0.35">
      <c r="A5">
        <v>1.2E-2</v>
      </c>
      <c r="B5">
        <v>26</v>
      </c>
      <c r="C5">
        <v>25.507153125607939</v>
      </c>
      <c r="D5">
        <v>25.079411329493929</v>
      </c>
      <c r="E5">
        <v>24.693768928609593</v>
      </c>
      <c r="F5">
        <v>24.346535280612805</v>
      </c>
      <c r="G5">
        <v>24.033929019816103</v>
      </c>
      <c r="H5">
        <v>23.752367597426634</v>
      </c>
      <c r="I5">
        <v>23.498557464608954</v>
      </c>
      <c r="J5">
        <v>23.269516977759928</v>
      </c>
      <c r="K5">
        <v>23.062569608865456</v>
      </c>
    </row>
    <row r="6" spans="1:11" x14ac:dyDescent="0.35">
      <c r="A6">
        <v>1.6E-2</v>
      </c>
      <c r="B6">
        <v>26</v>
      </c>
      <c r="C6">
        <v>25.526441942606318</v>
      </c>
      <c r="D6">
        <v>25.096836424906467</v>
      </c>
      <c r="E6">
        <v>24.709466726533794</v>
      </c>
      <c r="F6">
        <v>24.36066713484189</v>
      </c>
      <c r="G6">
        <v>24.046652996612419</v>
      </c>
      <c r="H6">
        <v>23.763831184568044</v>
      </c>
      <c r="I6">
        <v>23.508895235804385</v>
      </c>
      <c r="J6">
        <v>23.278850263454181</v>
      </c>
      <c r="K6">
        <v>23.071007073733011</v>
      </c>
    </row>
    <row r="7" spans="1:11" x14ac:dyDescent="0.35">
      <c r="A7">
        <v>0.02</v>
      </c>
      <c r="B7">
        <v>26</v>
      </c>
      <c r="C7">
        <v>25.542784167172318</v>
      </c>
      <c r="D7">
        <v>25.111600695760128</v>
      </c>
      <c r="E7">
        <v>24.722767702289897</v>
      </c>
      <c r="F7">
        <v>24.372641295779715</v>
      </c>
      <c r="G7">
        <v>24.057434180225087</v>
      </c>
      <c r="H7">
        <v>23.773544322618726</v>
      </c>
      <c r="I7">
        <v>23.517654345059984</v>
      </c>
      <c r="J7">
        <v>23.286758152357859</v>
      </c>
      <c r="K7">
        <v>23.078155824483272</v>
      </c>
    </row>
    <row r="8" spans="1:11" x14ac:dyDescent="0.35">
      <c r="A8">
        <v>2.4E-2</v>
      </c>
      <c r="B8">
        <v>26</v>
      </c>
      <c r="C8">
        <v>25.556169336543427</v>
      </c>
      <c r="D8">
        <v>25.123694170175057</v>
      </c>
      <c r="E8">
        <v>24.733662752844118</v>
      </c>
      <c r="F8">
        <v>24.382449552942496</v>
      </c>
      <c r="G8">
        <v>24.066265207796437</v>
      </c>
      <c r="H8">
        <v>23.781500429020628</v>
      </c>
      <c r="I8">
        <v>23.524828916749236</v>
      </c>
      <c r="J8">
        <v>23.293235403698137</v>
      </c>
      <c r="K8">
        <v>23.084011187666601</v>
      </c>
    </row>
    <row r="9" spans="1:11" x14ac:dyDescent="0.35">
      <c r="A9">
        <v>2.8000000000000001E-2</v>
      </c>
      <c r="B9">
        <v>26</v>
      </c>
      <c r="C9">
        <v>25.56658889363548</v>
      </c>
      <c r="D9">
        <v>25.133108682247638</v>
      </c>
      <c r="E9">
        <v>24.74214442225993</v>
      </c>
      <c r="F9">
        <v>24.390085180862304</v>
      </c>
      <c r="G9">
        <v>24.073140047902356</v>
      </c>
      <c r="H9">
        <v>23.787694111416993</v>
      </c>
      <c r="I9">
        <v>23.530414137568076</v>
      </c>
      <c r="J9">
        <v>23.298277724221286</v>
      </c>
      <c r="K9">
        <v>23.088569334779493</v>
      </c>
    </row>
    <row r="10" spans="1:11" x14ac:dyDescent="0.35">
      <c r="A10">
        <v>3.2000000000000001E-2</v>
      </c>
      <c r="B10">
        <v>26</v>
      </c>
      <c r="C10">
        <v>25.574036185194167</v>
      </c>
      <c r="D10">
        <v>25.139837876314566</v>
      </c>
      <c r="E10">
        <v>24.748206906498407</v>
      </c>
      <c r="F10">
        <v>24.395542943765168</v>
      </c>
      <c r="G10">
        <v>24.078054004910747</v>
      </c>
      <c r="H10">
        <v>23.792121171626416</v>
      </c>
      <c r="I10">
        <v>23.534406260116519</v>
      </c>
      <c r="J10">
        <v>23.301881771399685</v>
      </c>
      <c r="K10">
        <v>23.09182728512576</v>
      </c>
    </row>
    <row r="11" spans="1:11" x14ac:dyDescent="0.35">
      <c r="A11">
        <v>3.6000000000000004E-2</v>
      </c>
      <c r="B11">
        <v>26</v>
      </c>
      <c r="C11">
        <v>25.578506460174342</v>
      </c>
      <c r="D11">
        <v>25.143877210260062</v>
      </c>
      <c r="E11">
        <v>24.751846057151276</v>
      </c>
      <c r="F11">
        <v>24.398819099211284</v>
      </c>
      <c r="G11">
        <v>24.081003722373961</v>
      </c>
      <c r="H11">
        <v>23.794778608736458</v>
      </c>
      <c r="I11">
        <v>23.536802605686962</v>
      </c>
      <c r="J11">
        <v>23.304045155928602</v>
      </c>
      <c r="K11">
        <v>23.093782908044126</v>
      </c>
    </row>
    <row r="12" spans="1:11" x14ac:dyDescent="0.35">
      <c r="A12">
        <v>0.04</v>
      </c>
      <c r="B12">
        <v>26</v>
      </c>
      <c r="C12">
        <v>25.579996868481313</v>
      </c>
      <c r="D12">
        <v>25.14522395787316</v>
      </c>
      <c r="E12">
        <v>24.753059384107189</v>
      </c>
      <c r="F12">
        <v>24.399911400696098</v>
      </c>
      <c r="G12">
        <v>24.081987185453244</v>
      </c>
      <c r="H12">
        <v>23.795664621314785</v>
      </c>
      <c r="I12">
        <v>23.537601566257226</v>
      </c>
      <c r="J12">
        <v>23.304766443510943</v>
      </c>
      <c r="K12">
        <v>23.09443492450055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E852B-1701-4EB2-84A6-90E9F8D26BFF}">
  <sheetPr codeName="Sheet9"/>
  <dimension ref="A1:K2"/>
  <sheetViews>
    <sheetView workbookViewId="0">
      <selection sqref="A1:XFD1048576"/>
    </sheetView>
  </sheetViews>
  <sheetFormatPr defaultColWidth="8.7265625" defaultRowHeight="14.5" x14ac:dyDescent="0.35"/>
  <sheetData>
    <row r="1" spans="1:11" x14ac:dyDescent="0.35">
      <c r="A1" t="s">
        <v>345</v>
      </c>
      <c r="B1">
        <v>1</v>
      </c>
      <c r="C1">
        <v>1.9991666666666668</v>
      </c>
      <c r="D1">
        <v>2.9983333333333335</v>
      </c>
      <c r="E1">
        <v>3.9975000000000001</v>
      </c>
      <c r="F1">
        <v>4.996666666666667</v>
      </c>
      <c r="G1">
        <v>5.9958333333333336</v>
      </c>
      <c r="H1">
        <v>6.9950000000000001</v>
      </c>
      <c r="I1">
        <v>7.9941666666666666</v>
      </c>
      <c r="J1">
        <v>8.9933333333333341</v>
      </c>
      <c r="K1">
        <v>9.9924999999999997</v>
      </c>
    </row>
    <row r="2" spans="1:11" x14ac:dyDescent="0.35">
      <c r="A2" t="s">
        <v>404</v>
      </c>
      <c r="B2">
        <v>26</v>
      </c>
      <c r="C2">
        <v>24.766957078017914</v>
      </c>
      <c r="D2">
        <v>24.471198194490778</v>
      </c>
      <c r="E2">
        <v>24.212341939378529</v>
      </c>
      <c r="F2">
        <v>23.98078403175726</v>
      </c>
      <c r="G2">
        <v>23.771610049713743</v>
      </c>
      <c r="H2">
        <v>23.581492440668494</v>
      </c>
      <c r="I2">
        <v>23.407943830096428</v>
      </c>
      <c r="J2">
        <v>23.248989677644254</v>
      </c>
      <c r="K2">
        <v>23.102995098712242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f2b894a-a72a-476f-8f18-02cf1abdef1b" xsi:nil="true"/>
    <TaxCatchAll xmlns="3f2896e5-451a-4203-aaff-89209450fe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CDE4E3CE0CE654EAE02DBC6FDA3B560" ma:contentTypeVersion="4" ma:contentTypeDescription="Ein neues Dokument erstellen." ma:contentTypeScope="" ma:versionID="9ea8f91c97107931f87ae943e142f2de">
  <xsd:schema xmlns:xsd="http://www.w3.org/2001/XMLSchema" xmlns:xs="http://www.w3.org/2001/XMLSchema" xmlns:p="http://schemas.microsoft.com/office/2006/metadata/properties" xmlns:ns2="3f2896e5-451a-4203-aaff-89209450fe93" xmlns:ns3="5f2b894a-a72a-476f-8f18-02cf1abdef1b" targetNamespace="http://schemas.microsoft.com/office/2006/metadata/properties" ma:root="true" ma:fieldsID="9a191181a729ed83627c189c4a160037" ns2:_="" ns3:_="">
    <xsd:import namespace="3f2896e5-451a-4203-aaff-89209450fe93"/>
    <xsd:import namespace="5f2b894a-a72a-476f-8f18-02cf1abdef1b"/>
    <xsd:element name="properties">
      <xsd:complexType>
        <xsd:sequence>
          <xsd:element name="documentManagement">
            <xsd:complexType>
              <xsd:all>
                <xsd:element ref="ns2:TaxCatchAll" minOccurs="0"/>
                <xsd:element ref="ns3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2896e5-451a-4203-aaff-89209450fe93" elementFormDefault="qualified">
    <xsd:import namespace="http://schemas.microsoft.com/office/2006/documentManagement/types"/>
    <xsd:import namespace="http://schemas.microsoft.com/office/infopath/2007/PartnerControls"/>
    <xsd:element name="TaxCatchAll" ma:index="8" nillable="true" ma:displayName="Taxonomy Catch All Column" ma:hidden="true" ma:list="{f2c22086-ec75-4930-adae-33cb347dac1c}" ma:internalName="TaxCatchAll" ma:showField="CatchAllData" ma:web="3f2896e5-451a-4203-aaff-89209450fe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2b894a-a72a-476f-8f18-02cf1abdef1b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displayName="Bildmarkierungen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Inhaltstyp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38C538-0E88-4734-AB71-9B080A8F0A92}">
  <ds:schemaRefs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5f2b894a-a72a-476f-8f18-02cf1abdef1b"/>
    <ds:schemaRef ds:uri="http://schemas.microsoft.com/office/2006/documentManagement/types"/>
    <ds:schemaRef ds:uri="http://schemas.microsoft.com/office/2006/metadata/properties"/>
    <ds:schemaRef ds:uri="http://purl.org/dc/terms/"/>
    <ds:schemaRef ds:uri="3f2896e5-451a-4203-aaff-89209450fe93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1CE9CD0-66C3-49A3-BB3F-9028224ADF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1C94F4-0186-4467-89CB-0DA89C4290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2896e5-451a-4203-aaff-89209450fe93"/>
    <ds:schemaRef ds:uri="5f2b894a-a72a-476f-8f18-02cf1abdef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3</vt:i4>
      </vt:variant>
    </vt:vector>
  </HeadingPairs>
  <TitlesOfParts>
    <vt:vector size="19" baseType="lpstr">
      <vt:lpstr>Kühlsegel</vt:lpstr>
      <vt:lpstr>Prototyp</vt:lpstr>
      <vt:lpstr>Konvektion+Strahlung</vt:lpstr>
      <vt:lpstr>Kollektorfeld</vt:lpstr>
      <vt:lpstr>Raum</vt:lpstr>
      <vt:lpstr>License</vt:lpstr>
      <vt:lpstr>Leistung</vt:lpstr>
      <vt:lpstr>Kuehlsegel</vt:lpstr>
      <vt:lpstr>Koll</vt:lpstr>
      <vt:lpstr>Waerme</vt:lpstr>
      <vt:lpstr>Simulation</vt:lpstr>
      <vt:lpstr>Kollektormodelle</vt:lpstr>
      <vt:lpstr>Umgebungsprofile</vt:lpstr>
      <vt:lpstr>Decke</vt:lpstr>
      <vt:lpstr>Wand</vt:lpstr>
      <vt:lpstr>Luft</vt:lpstr>
      <vt:lpstr>Koll_typ</vt:lpstr>
      <vt:lpstr>T_ini</vt:lpstr>
      <vt:lpstr>Umgebungsprofile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Eismann Ralph</dc:creator>
  <cp:keywords/>
  <dc:description/>
  <cp:lastModifiedBy>Ralph Eismann</cp:lastModifiedBy>
  <cp:revision/>
  <dcterms:created xsi:type="dcterms:W3CDTF">2021-02-14T15:02:32Z</dcterms:created>
  <dcterms:modified xsi:type="dcterms:W3CDTF">2025-12-11T17:43:53Z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0x0101005CDE4E3CE0CE654EAE02DBC6FDA3B560</vt:lpwstr>
  </property>
  <property fmtid="{D5CDD505-2E9C-101B-9397-08002B2CF9AE}" pid="3" name="MediaServiceImageTags">
    <vt:lpwstr/>
  </property>
  <property fmtid="{D5CDD505-2E9C-101B-9397-08002B2CF9AE}" pid="4" name="Dokumententyp">
    <vt:lpwstr/>
  </property>
  <property fmtid="{D5CDD505-2E9C-101B-9397-08002B2CF9AE}" pid="5" name="if6c3b60cb7946a497c90999f960d465">
    <vt:lpwstr/>
  </property>
</Properties>
</file>